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แฟลต 40 ห้อง 5 ชั้น บก.ตชด.ภาค 2\"/>
    </mc:Choice>
  </mc:AlternateContent>
  <xr:revisionPtr revIDLastSave="0" documentId="13_ncr:1_{E1A89860-6CD4-43C7-BBA6-08A296C07360}" xr6:coauthVersionLast="47" xr6:coauthVersionMax="47" xr10:uidLastSave="{00000000-0000-0000-0000-000000000000}"/>
  <bookViews>
    <workbookView xWindow="-120" yWindow="-120" windowWidth="29040" windowHeight="15720" tabRatio="899" activeTab="1" xr2:uid="{62E8C0CC-B1D0-4D39-9A92-9A2B5F0AA9FC}"/>
  </bookViews>
  <sheets>
    <sheet name="สรุปงานโครงการ" sheetId="1" r:id="rId1"/>
    <sheet name="ปร.6" sheetId="17" r:id="rId2"/>
    <sheet name="รวมราคา" sheetId="2" r:id="rId3"/>
    <sheet name="1.โครงสร้าง" sheetId="3" r:id="rId4"/>
    <sheet name="2.สถาปัตย์" sheetId="4" r:id="rId5"/>
    <sheet name="3.ประปา" sheetId="5" r:id="rId6"/>
    <sheet name="4.ไฟฟ้า" sheetId="6" r:id="rId7"/>
    <sheet name="5.ถังน้ำบนดิน" sheetId="7" r:id="rId8"/>
    <sheet name="6.ฐานรากมีเข็ม" sheetId="8" r:id="rId9"/>
    <sheet name="7.บริเวณ" sheetId="10" r:id="rId10"/>
    <sheet name="8.งานถนนเข้าที่พัก" sheetId="14" r:id="rId11"/>
    <sheet name="9.ครุภัณฑ์ทั่วไป" sheetId="16" r:id="rId12"/>
    <sheet name="(Factor F)" sheetId="13" r:id="rId13"/>
    <sheet name="วัสดุ" sheetId="12" r:id="rId14"/>
    <sheet name="ทดโครงสร้าง" sheetId="9" r:id="rId15"/>
    <sheet name="ถนน" sheetId="11" r:id="rId16"/>
  </sheets>
  <externalReferences>
    <externalReference r:id="rId17"/>
    <externalReference r:id="rId18"/>
  </externalReferences>
  <definedNames>
    <definedName name="____day1">#REF!</definedName>
    <definedName name="____day10">#REF!</definedName>
    <definedName name="____day11">#REF!</definedName>
    <definedName name="____day12">#REF!</definedName>
    <definedName name="____day13">#REF!</definedName>
    <definedName name="____day19">#REF!</definedName>
    <definedName name="____day2">#REF!</definedName>
    <definedName name="____day3">#REF!</definedName>
    <definedName name="____day4">#REF!</definedName>
    <definedName name="____day5">#REF!</definedName>
    <definedName name="____day6">#REF!</definedName>
    <definedName name="____day7">#REF!</definedName>
    <definedName name="____day8">#REF!</definedName>
    <definedName name="____day9">#REF!</definedName>
    <definedName name="___day1">#REF!</definedName>
    <definedName name="___day10">#REF!</definedName>
    <definedName name="___day11">#REF!</definedName>
    <definedName name="___day12">#REF!</definedName>
    <definedName name="___day13">#REF!</definedName>
    <definedName name="___day19">#REF!</definedName>
    <definedName name="___day2">#REF!</definedName>
    <definedName name="___day3">#REF!</definedName>
    <definedName name="___day4">#REF!</definedName>
    <definedName name="___day5">#REF!</definedName>
    <definedName name="___day6">#REF!</definedName>
    <definedName name="___day7">#REF!</definedName>
    <definedName name="___day8">#REF!</definedName>
    <definedName name="___day9">#REF!</definedName>
    <definedName name="__day1">#REF!</definedName>
    <definedName name="__day10">#REF!</definedName>
    <definedName name="__day11">#REF!</definedName>
    <definedName name="__day12">#REF!</definedName>
    <definedName name="__day13">#REF!</definedName>
    <definedName name="__day19">#REF!</definedName>
    <definedName name="__day2">#REF!</definedName>
    <definedName name="__day3">#REF!</definedName>
    <definedName name="__day4">#REF!</definedName>
    <definedName name="__day5">#REF!</definedName>
    <definedName name="__day6">#REF!</definedName>
    <definedName name="__day7">#REF!</definedName>
    <definedName name="__day8">#REF!</definedName>
    <definedName name="__day9">#REF!</definedName>
    <definedName name="_day1">#REF!</definedName>
    <definedName name="_day10">#REF!</definedName>
    <definedName name="_day11">#REF!</definedName>
    <definedName name="_day12">#REF!</definedName>
    <definedName name="_day13">#REF!</definedName>
    <definedName name="_day19">#REF!</definedName>
    <definedName name="_day2">#REF!</definedName>
    <definedName name="_day3">#REF!</definedName>
    <definedName name="_day4">#REF!</definedName>
    <definedName name="_day5">#REF!</definedName>
    <definedName name="_day6">#REF!</definedName>
    <definedName name="_day7">#REF!</definedName>
    <definedName name="_day8">#REF!</definedName>
    <definedName name="_day9">#REF!</definedName>
    <definedName name="cost1">#REF!</definedName>
    <definedName name="cost10">#REF!</definedName>
    <definedName name="cost11">#REF!</definedName>
    <definedName name="cost12">#REF!</definedName>
    <definedName name="cost13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ost8">#REF!</definedName>
    <definedName name="cost9">#REF!</definedName>
    <definedName name="Excel_BuiltIn_Print_Titles_1_1">#REF!</definedName>
    <definedName name="Excel_BuiltIn_Print_Titles_10">#REF!</definedName>
    <definedName name="LLOOO">#REF!</definedName>
    <definedName name="_xlnm.Print_Area" localSheetId="12">'(Factor F)'!$A$1:$L$35</definedName>
    <definedName name="_xlnm.Print_Area" localSheetId="3">'1.โครงสร้าง'!$A$1:$K$26</definedName>
    <definedName name="_xlnm.Print_Area" localSheetId="4">'2.สถาปัตย์'!$A$1:$K$221</definedName>
    <definedName name="_xlnm.Print_Area" localSheetId="5">'3.ประปา'!$A$1:$K$49</definedName>
    <definedName name="_xlnm.Print_Area" localSheetId="6">'4.ไฟฟ้า'!$A$1:$K$50</definedName>
    <definedName name="_xlnm.Print_Area" localSheetId="7">'5.ถังน้ำบนดิน'!$A$1:$K$50</definedName>
    <definedName name="_xlnm.Print_Area" localSheetId="8">'6.ฐานรากมีเข็ม'!$A$1:$K$28</definedName>
    <definedName name="_xlnm.Print_Area" localSheetId="9">'7.บริเวณ'!$A$1:$K$25</definedName>
    <definedName name="_xlnm.Print_Area" localSheetId="10">'8.งานถนนเข้าที่พัก'!$A$1:$K$28</definedName>
    <definedName name="_xlnm.Print_Area" localSheetId="11">'9.ครุภัณฑ์ทั่วไป'!$A$1:$K$23</definedName>
    <definedName name="_xlnm.Print_Area" localSheetId="15">ถนน!$A$1:$K$112</definedName>
    <definedName name="_xlnm.Print_Area" localSheetId="2">รวมราคา!$A$1:$K$26</definedName>
    <definedName name="_xlnm.Print_Area" localSheetId="0">สรุปงานโครงการ!$A$1:$J$31</definedName>
    <definedName name="_xlnm.Print_Area">#REF!</definedName>
    <definedName name="PRINT_AREA_MI">#REF!</definedName>
    <definedName name="ใช่">#REF!</definedName>
    <definedName name="กกกกก">#REF!</definedName>
    <definedName name="คร.">#REF!</definedName>
    <definedName name="งานทั่วไป">[1]ภูมิทัศน์!#REF!</definedName>
    <definedName name="งานบัวเชิงผนัง">[1]ภูมิทัศน์!#REF!</definedName>
    <definedName name="งานประตูหน้าต่าง">[1]ภูมิทัศน์!#REF!</definedName>
    <definedName name="งานผนัง">[1]ภูมิทัศน์!#REF!</definedName>
    <definedName name="งานฝ้าเพดาน">[1]ภูมิทัศน์!#REF!</definedName>
    <definedName name="งานพื้น">[1]ภูมิทัศน์!#REF!</definedName>
    <definedName name="งานสุขภัณฑ์">[1]ภูมิทัศน์!#REF!</definedName>
    <definedName name="งานหลังคา">[1]ภูมิทัศน์!#REF!</definedName>
    <definedName name="จัดสร้าง">#REF!</definedName>
    <definedName name="ดด">#REF!</definedName>
    <definedName name="รร">#REF!</definedName>
    <definedName name="ราคากลางสว่างแดนดิน">#REF!</definedName>
    <definedName name="วววววววว">#REF!</definedName>
    <definedName name="ววววววววว">#REF!</definedName>
    <definedName name="ศาลปกครอง">#REF!</definedName>
    <definedName name="สว่า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7" l="1"/>
  <c r="C22" i="17"/>
  <c r="I14" i="17"/>
  <c r="I13" i="17"/>
  <c r="I12" i="17"/>
  <c r="I21" i="17" s="1"/>
  <c r="G24" i="10" l="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I8" i="10"/>
  <c r="G8" i="10"/>
  <c r="J22" i="10" l="1"/>
  <c r="J13" i="10"/>
  <c r="J9" i="10"/>
  <c r="J20" i="10"/>
  <c r="J19" i="10"/>
  <c r="J10" i="10"/>
  <c r="J18" i="10"/>
  <c r="J17" i="10"/>
  <c r="J21" i="10"/>
  <c r="J16" i="10"/>
  <c r="J15" i="10"/>
  <c r="J14" i="10"/>
  <c r="J12" i="10"/>
  <c r="J11" i="10"/>
  <c r="J8" i="10"/>
  <c r="J24" i="10"/>
  <c r="J23" i="10"/>
  <c r="J25" i="10" l="1"/>
  <c r="J18" i="2" s="1"/>
  <c r="G15" i="1" l="1"/>
  <c r="G14" i="1"/>
  <c r="G13" i="1"/>
  <c r="I12" i="16"/>
  <c r="G12" i="16"/>
  <c r="I11" i="16"/>
  <c r="G11" i="16"/>
  <c r="I10" i="16"/>
  <c r="G10" i="16"/>
  <c r="I9" i="16"/>
  <c r="G9" i="16"/>
  <c r="I8" i="16"/>
  <c r="G8" i="16"/>
  <c r="A4" i="16"/>
  <c r="G3" i="16"/>
  <c r="C3" i="16"/>
  <c r="A3" i="16"/>
  <c r="G2" i="16"/>
  <c r="A2" i="16"/>
  <c r="J1" i="16"/>
  <c r="A1" i="16"/>
  <c r="J10" i="16" l="1"/>
  <c r="J12" i="16"/>
  <c r="J11" i="16"/>
  <c r="J9" i="16"/>
  <c r="J8" i="16"/>
  <c r="H11" i="14"/>
  <c r="F11" i="14"/>
  <c r="I11" i="14" s="1"/>
  <c r="H10" i="14"/>
  <c r="F10" i="14"/>
  <c r="H9" i="14"/>
  <c r="F9" i="14"/>
  <c r="H8" i="14"/>
  <c r="F8" i="14"/>
  <c r="C2" i="2"/>
  <c r="C2" i="16" s="1"/>
  <c r="V31" i="13"/>
  <c r="L31" i="13" s="1"/>
  <c r="V30" i="13"/>
  <c r="L30" i="13" s="1"/>
  <c r="V29" i="13"/>
  <c r="L29" i="13" s="1"/>
  <c r="V28" i="13"/>
  <c r="L28" i="13" s="1"/>
  <c r="V27" i="13"/>
  <c r="L27" i="13" s="1"/>
  <c r="V26" i="13"/>
  <c r="L26" i="13" s="1"/>
  <c r="V25" i="13"/>
  <c r="L25" i="13" s="1"/>
  <c r="V24" i="13"/>
  <c r="L24" i="13" s="1"/>
  <c r="V23" i="13"/>
  <c r="L23" i="13" s="1"/>
  <c r="V22" i="13"/>
  <c r="L22" i="13" s="1"/>
  <c r="V21" i="13"/>
  <c r="L21" i="13" s="1"/>
  <c r="V20" i="13"/>
  <c r="L20" i="13" s="1"/>
  <c r="V19" i="13"/>
  <c r="L19" i="13" s="1"/>
  <c r="V18" i="13"/>
  <c r="L18" i="13" s="1"/>
  <c r="V17" i="13"/>
  <c r="L17" i="13" s="1"/>
  <c r="H17" i="13"/>
  <c r="V16" i="13"/>
  <c r="L16" i="13" s="1"/>
  <c r="V15" i="13"/>
  <c r="L15" i="13" s="1"/>
  <c r="V14" i="13"/>
  <c r="L14" i="13" s="1"/>
  <c r="V13" i="13"/>
  <c r="L13" i="13" s="1"/>
  <c r="V12" i="13"/>
  <c r="L12" i="13" s="1"/>
  <c r="V11" i="13"/>
  <c r="L11" i="13" s="1"/>
  <c r="V10" i="13"/>
  <c r="L10" i="13" s="1"/>
  <c r="V9" i="13"/>
  <c r="L9" i="13" s="1"/>
  <c r="V8" i="13"/>
  <c r="L8" i="13" s="1"/>
  <c r="I8" i="14" l="1"/>
  <c r="I10" i="14"/>
  <c r="J23" i="16"/>
  <c r="J24" i="2" s="1"/>
  <c r="I9" i="14"/>
  <c r="I14" i="14" s="1"/>
  <c r="V7" i="13"/>
  <c r="J19" i="2" l="1"/>
  <c r="E15" i="1" s="1"/>
  <c r="I15" i="1" s="1"/>
  <c r="L39" i="5"/>
  <c r="I34" i="5"/>
  <c r="F34" i="5"/>
  <c r="G34" i="5" s="1"/>
  <c r="J34" i="5" s="1"/>
  <c r="D48" i="6"/>
  <c r="D45" i="6"/>
  <c r="G45" i="6"/>
  <c r="D43" i="6"/>
  <c r="I43" i="6" s="1"/>
  <c r="D39" i="6"/>
  <c r="G39" i="6" s="1"/>
  <c r="D35" i="6"/>
  <c r="G35" i="6"/>
  <c r="D23" i="6"/>
  <c r="I23" i="6" s="1"/>
  <c r="D18" i="6"/>
  <c r="G18" i="6" s="1"/>
  <c r="D17" i="6"/>
  <c r="D20" i="6"/>
  <c r="G20" i="6" s="1"/>
  <c r="D19" i="6"/>
  <c r="G19" i="6" s="1"/>
  <c r="F14" i="6"/>
  <c r="G14" i="6"/>
  <c r="L14" i="6"/>
  <c r="O14" i="6" s="1"/>
  <c r="P14" i="6" s="1"/>
  <c r="Q14" i="6" s="1"/>
  <c r="M14" i="6"/>
  <c r="D192" i="4"/>
  <c r="I192" i="4" s="1"/>
  <c r="D161" i="4"/>
  <c r="D160" i="4"/>
  <c r="I160" i="4" s="1"/>
  <c r="D159" i="4"/>
  <c r="I159" i="4"/>
  <c r="D158" i="4"/>
  <c r="I158" i="4" s="1"/>
  <c r="D157" i="4"/>
  <c r="I157" i="4"/>
  <c r="D135" i="4"/>
  <c r="G135" i="4" s="1"/>
  <c r="D134" i="4"/>
  <c r="D133" i="4"/>
  <c r="I133" i="4" s="1"/>
  <c r="L133" i="4"/>
  <c r="L109" i="4"/>
  <c r="D58" i="4"/>
  <c r="L112" i="4"/>
  <c r="D113" i="4"/>
  <c r="G113" i="4" s="1"/>
  <c r="J113" i="4" s="1"/>
  <c r="D110" i="4"/>
  <c r="D108" i="4"/>
  <c r="G108" i="4"/>
  <c r="I109" i="4"/>
  <c r="J109" i="4" s="1"/>
  <c r="D93" i="4"/>
  <c r="I93" i="4" s="1"/>
  <c r="P86" i="4"/>
  <c r="P87" i="4"/>
  <c r="D87" i="4" s="1"/>
  <c r="P88" i="4"/>
  <c r="D88" i="4" s="1"/>
  <c r="P89" i="4"/>
  <c r="D89" i="4" s="1"/>
  <c r="Q93" i="4"/>
  <c r="Q92" i="4"/>
  <c r="Q90" i="4"/>
  <c r="P90" i="4" s="1"/>
  <c r="D90" i="4" s="1"/>
  <c r="Q85" i="4"/>
  <c r="P85" i="4" s="1"/>
  <c r="D85" i="4" s="1"/>
  <c r="Q84" i="4"/>
  <c r="P84" i="4" s="1"/>
  <c r="D84" i="4" s="1"/>
  <c r="Q83" i="4"/>
  <c r="P83" i="4" s="1"/>
  <c r="D83" i="4" s="1"/>
  <c r="D59" i="4"/>
  <c r="I59" i="4" s="1"/>
  <c r="D10" i="3"/>
  <c r="L23" i="3"/>
  <c r="D23" i="3" s="1"/>
  <c r="D15" i="3"/>
  <c r="I15" i="3" s="1"/>
  <c r="D13" i="3"/>
  <c r="G13" i="3" s="1"/>
  <c r="D21" i="3"/>
  <c r="D24" i="3" s="1"/>
  <c r="D12" i="8"/>
  <c r="I12" i="8" s="1"/>
  <c r="H2" i="8"/>
  <c r="C1" i="8"/>
  <c r="H2" i="7"/>
  <c r="C1" i="7"/>
  <c r="C1" i="6"/>
  <c r="H2" i="6"/>
  <c r="D25" i="8"/>
  <c r="D22" i="8"/>
  <c r="D24" i="8" s="1"/>
  <c r="D20" i="8"/>
  <c r="D19" i="8"/>
  <c r="D18" i="8"/>
  <c r="I18" i="8" s="1"/>
  <c r="D17" i="8"/>
  <c r="D16" i="8"/>
  <c r="D21" i="8" s="1"/>
  <c r="I21" i="8" s="1"/>
  <c r="F25" i="3"/>
  <c r="G25" i="3" s="1"/>
  <c r="I25" i="3"/>
  <c r="D16" i="3"/>
  <c r="D12" i="3"/>
  <c r="F12" i="3"/>
  <c r="F13" i="3"/>
  <c r="D39" i="4"/>
  <c r="F213" i="4"/>
  <c r="G213" i="4" s="1"/>
  <c r="J213" i="4" s="1"/>
  <c r="F211" i="4"/>
  <c r="G211" i="4" s="1"/>
  <c r="I42" i="4"/>
  <c r="G42" i="4"/>
  <c r="J42" i="4"/>
  <c r="D17" i="3"/>
  <c r="I17" i="3" s="1"/>
  <c r="P6" i="9"/>
  <c r="B6" i="9"/>
  <c r="J6" i="9" s="1"/>
  <c r="C6" i="9"/>
  <c r="B10" i="9"/>
  <c r="G10" i="9" s="1"/>
  <c r="B12" i="9"/>
  <c r="G12" i="9"/>
  <c r="B11" i="9"/>
  <c r="D11" i="9" s="1"/>
  <c r="B8" i="9"/>
  <c r="C8" i="9" s="1"/>
  <c r="B9" i="9"/>
  <c r="D9" i="9" s="1"/>
  <c r="F10" i="3"/>
  <c r="F9" i="3"/>
  <c r="G9" i="3" s="1"/>
  <c r="J9" i="3" s="1"/>
  <c r="F195" i="4"/>
  <c r="G195" i="4" s="1"/>
  <c r="D11" i="5"/>
  <c r="D16" i="5" s="1"/>
  <c r="I195" i="4"/>
  <c r="F160" i="4"/>
  <c r="F159" i="4"/>
  <c r="F158" i="4"/>
  <c r="F157" i="4"/>
  <c r="H64" i="4"/>
  <c r="I64" i="4" s="1"/>
  <c r="F64" i="4"/>
  <c r="G64" i="4" s="1"/>
  <c r="H61" i="4"/>
  <c r="I61" i="4" s="1"/>
  <c r="F61" i="4"/>
  <c r="G61" i="4" s="1"/>
  <c r="D41" i="4"/>
  <c r="I41" i="4"/>
  <c r="G39" i="4"/>
  <c r="M35" i="4"/>
  <c r="I35" i="4"/>
  <c r="G35" i="4"/>
  <c r="J35" i="4" s="1"/>
  <c r="M34" i="4"/>
  <c r="I34" i="4"/>
  <c r="G34" i="4"/>
  <c r="M32" i="4"/>
  <c r="I32" i="4"/>
  <c r="G32" i="4"/>
  <c r="J32" i="4" s="1"/>
  <c r="M33" i="4"/>
  <c r="I33" i="4"/>
  <c r="G33" i="4"/>
  <c r="J26" i="2"/>
  <c r="E16" i="1" s="1"/>
  <c r="I16" i="1" s="1"/>
  <c r="I23" i="5"/>
  <c r="G23" i="5"/>
  <c r="J23" i="5" s="1"/>
  <c r="G21" i="5"/>
  <c r="N14" i="6"/>
  <c r="D49" i="6"/>
  <c r="G49" i="6" s="1"/>
  <c r="G48" i="6"/>
  <c r="I15" i="6"/>
  <c r="D36" i="6"/>
  <c r="I36" i="6" s="1"/>
  <c r="I13" i="6"/>
  <c r="G13" i="6"/>
  <c r="J13" i="6" s="1"/>
  <c r="I8" i="3"/>
  <c r="I9" i="3"/>
  <c r="J26" i="5"/>
  <c r="H27" i="5"/>
  <c r="G28" i="5"/>
  <c r="G27" i="5"/>
  <c r="C28" i="5"/>
  <c r="C27" i="5"/>
  <c r="C26" i="5"/>
  <c r="A29" i="5"/>
  <c r="A28" i="5"/>
  <c r="A27" i="5"/>
  <c r="A26" i="5"/>
  <c r="I38" i="5"/>
  <c r="G38" i="5"/>
  <c r="I37" i="5"/>
  <c r="G37" i="5"/>
  <c r="I24" i="5"/>
  <c r="G24" i="5"/>
  <c r="J24" i="5" s="1"/>
  <c r="I22" i="5"/>
  <c r="G22" i="5"/>
  <c r="I20" i="5"/>
  <c r="G20" i="5"/>
  <c r="I19" i="5"/>
  <c r="G19" i="5"/>
  <c r="I18" i="5"/>
  <c r="G18" i="5"/>
  <c r="D9" i="5"/>
  <c r="I9" i="5" s="1"/>
  <c r="D209" i="4"/>
  <c r="G209" i="4" s="1"/>
  <c r="D92" i="4"/>
  <c r="I92" i="4" s="1"/>
  <c r="L91" i="4"/>
  <c r="L137" i="4"/>
  <c r="L136" i="4"/>
  <c r="L84" i="4"/>
  <c r="M84" i="4"/>
  <c r="L83" i="4"/>
  <c r="M83" i="4" s="1"/>
  <c r="L87" i="4"/>
  <c r="M87" i="4"/>
  <c r="L89" i="4"/>
  <c r="M89" i="4" s="1"/>
  <c r="N88" i="4"/>
  <c r="O88" i="4" s="1"/>
  <c r="L88" i="4"/>
  <c r="M88" i="4" s="1"/>
  <c r="L86" i="4"/>
  <c r="M86" i="4" s="1"/>
  <c r="L85" i="4"/>
  <c r="M85" i="4" s="1"/>
  <c r="G134" i="4"/>
  <c r="I137" i="4"/>
  <c r="G137" i="4"/>
  <c r="D111" i="4"/>
  <c r="G111" i="4" s="1"/>
  <c r="I110" i="4"/>
  <c r="G109" i="4"/>
  <c r="I112" i="4"/>
  <c r="G112" i="4"/>
  <c r="J112" i="4" s="1"/>
  <c r="I91" i="4"/>
  <c r="G91" i="4"/>
  <c r="I19" i="8"/>
  <c r="F20" i="8"/>
  <c r="G20" i="8" s="1"/>
  <c r="F19" i="8"/>
  <c r="F25" i="8"/>
  <c r="F21" i="8"/>
  <c r="F18" i="8"/>
  <c r="F17" i="8"/>
  <c r="G17" i="8" s="1"/>
  <c r="F16" i="8"/>
  <c r="F14" i="8"/>
  <c r="G14" i="8" s="1"/>
  <c r="G11" i="8"/>
  <c r="F10" i="8"/>
  <c r="G10" i="8"/>
  <c r="I23" i="8"/>
  <c r="G23" i="8"/>
  <c r="I14" i="8"/>
  <c r="I11" i="8"/>
  <c r="I10" i="8"/>
  <c r="J10" i="8" s="1"/>
  <c r="I9" i="8"/>
  <c r="G9" i="8"/>
  <c r="I8" i="8"/>
  <c r="G8" i="8"/>
  <c r="J8" i="8" s="1"/>
  <c r="I39" i="4"/>
  <c r="I38" i="4"/>
  <c r="G38" i="4"/>
  <c r="J38" i="4" s="1"/>
  <c r="I37" i="4"/>
  <c r="J37" i="4" s="1"/>
  <c r="G37" i="4"/>
  <c r="I216" i="4"/>
  <c r="G216" i="4"/>
  <c r="I215" i="4"/>
  <c r="G215" i="4"/>
  <c r="I214" i="4"/>
  <c r="G214" i="4"/>
  <c r="I213" i="4"/>
  <c r="I212" i="4"/>
  <c r="G212" i="4"/>
  <c r="I211" i="4"/>
  <c r="I208" i="4"/>
  <c r="G208" i="4"/>
  <c r="I207" i="4"/>
  <c r="G207" i="4"/>
  <c r="I206" i="4"/>
  <c r="G206" i="4"/>
  <c r="I205" i="4"/>
  <c r="G205" i="4"/>
  <c r="D194" i="4"/>
  <c r="G194" i="4" s="1"/>
  <c r="D188" i="4"/>
  <c r="I188" i="4" s="1"/>
  <c r="D185" i="4"/>
  <c r="I185" i="4" s="1"/>
  <c r="D184" i="4"/>
  <c r="G184" i="4" s="1"/>
  <c r="D182" i="4"/>
  <c r="D193" i="4"/>
  <c r="I193" i="4" s="1"/>
  <c r="I191" i="4"/>
  <c r="G191" i="4"/>
  <c r="I190" i="4"/>
  <c r="G190" i="4"/>
  <c r="I189" i="4"/>
  <c r="G189" i="4"/>
  <c r="J189" i="4" s="1"/>
  <c r="I186" i="4"/>
  <c r="G186" i="4"/>
  <c r="F184" i="4"/>
  <c r="I183" i="4"/>
  <c r="G183" i="4"/>
  <c r="I181" i="4"/>
  <c r="G181" i="4"/>
  <c r="F12" i="7"/>
  <c r="G12" i="7" s="1"/>
  <c r="F11" i="7"/>
  <c r="G11" i="7" s="1"/>
  <c r="F9" i="7"/>
  <c r="G9" i="7"/>
  <c r="F18" i="7"/>
  <c r="F17" i="7"/>
  <c r="G17" i="7" s="1"/>
  <c r="F16" i="7"/>
  <c r="F15" i="7"/>
  <c r="G15" i="7" s="1"/>
  <c r="F14" i="7"/>
  <c r="G14" i="7" s="1"/>
  <c r="I43" i="7"/>
  <c r="G43" i="7"/>
  <c r="I42" i="7"/>
  <c r="G42" i="7"/>
  <c r="J42" i="7" s="1"/>
  <c r="I41" i="7"/>
  <c r="G41" i="7"/>
  <c r="I40" i="7"/>
  <c r="G40" i="7"/>
  <c r="I39" i="7"/>
  <c r="G39" i="7"/>
  <c r="I38" i="7"/>
  <c r="G38" i="7"/>
  <c r="I37" i="7"/>
  <c r="G37" i="7"/>
  <c r="J37" i="7"/>
  <c r="I36" i="7"/>
  <c r="G36" i="7"/>
  <c r="J36" i="7" s="1"/>
  <c r="I35" i="7"/>
  <c r="G35" i="7"/>
  <c r="I34" i="7"/>
  <c r="G34" i="7"/>
  <c r="J34" i="7"/>
  <c r="D33" i="7"/>
  <c r="G33" i="7" s="1"/>
  <c r="I32" i="7"/>
  <c r="G32" i="7"/>
  <c r="I23" i="7"/>
  <c r="G23" i="7"/>
  <c r="I22" i="7"/>
  <c r="G22" i="7"/>
  <c r="J22" i="7" s="1"/>
  <c r="I20" i="7"/>
  <c r="G20" i="7"/>
  <c r="D19" i="7"/>
  <c r="D21" i="7" s="1"/>
  <c r="G19" i="7"/>
  <c r="D18" i="7"/>
  <c r="I17" i="7"/>
  <c r="D16" i="7"/>
  <c r="I16" i="7" s="1"/>
  <c r="I15" i="7"/>
  <c r="I14" i="7"/>
  <c r="I12" i="7"/>
  <c r="I11" i="7"/>
  <c r="I10" i="7"/>
  <c r="J10" i="7" s="1"/>
  <c r="G10" i="7"/>
  <c r="L9" i="7"/>
  <c r="I9" i="7"/>
  <c r="I8" i="7"/>
  <c r="G8" i="7"/>
  <c r="J25" i="7"/>
  <c r="H26" i="7"/>
  <c r="G27" i="7"/>
  <c r="G26" i="7"/>
  <c r="C27" i="7"/>
  <c r="C26" i="7"/>
  <c r="C25" i="7"/>
  <c r="A28" i="7"/>
  <c r="A27" i="7"/>
  <c r="A26" i="7"/>
  <c r="A25" i="7"/>
  <c r="I47" i="6"/>
  <c r="G47" i="6"/>
  <c r="I44" i="6"/>
  <c r="G44" i="6"/>
  <c r="J44" i="6" s="1"/>
  <c r="I41" i="6"/>
  <c r="G41" i="6"/>
  <c r="I24" i="6"/>
  <c r="G24" i="6"/>
  <c r="J24" i="6" s="1"/>
  <c r="I14" i="6"/>
  <c r="I12" i="6"/>
  <c r="J12" i="6" s="1"/>
  <c r="G12" i="6"/>
  <c r="I11" i="6"/>
  <c r="G11" i="6"/>
  <c r="I10" i="6"/>
  <c r="G10" i="6"/>
  <c r="I8" i="6"/>
  <c r="G8" i="6"/>
  <c r="J8" i="6" s="1"/>
  <c r="J27" i="6"/>
  <c r="H28" i="6"/>
  <c r="G29" i="6"/>
  <c r="G28" i="6"/>
  <c r="C29" i="6"/>
  <c r="C28" i="6"/>
  <c r="C27" i="6"/>
  <c r="A30" i="6"/>
  <c r="A29" i="6"/>
  <c r="A28" i="6"/>
  <c r="A27" i="6"/>
  <c r="I40" i="5"/>
  <c r="G40" i="5"/>
  <c r="I39" i="5"/>
  <c r="G39" i="5"/>
  <c r="I33" i="5"/>
  <c r="G33" i="5"/>
  <c r="G10" i="5"/>
  <c r="J10" i="5" s="1"/>
  <c r="I10" i="5"/>
  <c r="F24" i="3"/>
  <c r="F19" i="3"/>
  <c r="F18" i="3"/>
  <c r="F17" i="3"/>
  <c r="F16" i="3"/>
  <c r="F15" i="3"/>
  <c r="G15" i="3" s="1"/>
  <c r="J15" i="3" s="1"/>
  <c r="F14" i="3"/>
  <c r="G14" i="3" s="1"/>
  <c r="F74" i="11"/>
  <c r="G74" i="11" s="1"/>
  <c r="F51" i="11"/>
  <c r="F77" i="11" s="1"/>
  <c r="G77" i="11" s="1"/>
  <c r="F48" i="11"/>
  <c r="F73" i="11" s="1"/>
  <c r="G73" i="11" s="1"/>
  <c r="F35" i="11"/>
  <c r="F31" i="11"/>
  <c r="F30" i="11"/>
  <c r="G30" i="11" s="1"/>
  <c r="F29" i="11"/>
  <c r="G29" i="11" s="1"/>
  <c r="F28" i="11"/>
  <c r="F26" i="11"/>
  <c r="F25" i="11"/>
  <c r="G25" i="11" s="1"/>
  <c r="F24" i="11"/>
  <c r="G24" i="11" s="1"/>
  <c r="I100" i="11"/>
  <c r="G100" i="11"/>
  <c r="I99" i="11"/>
  <c r="G99" i="11"/>
  <c r="H98" i="11"/>
  <c r="I98" i="11"/>
  <c r="I96" i="11"/>
  <c r="G96" i="11"/>
  <c r="I84" i="11"/>
  <c r="G84" i="11"/>
  <c r="D83" i="11"/>
  <c r="I83" i="11" s="1"/>
  <c r="I82" i="11"/>
  <c r="G82" i="11"/>
  <c r="I81" i="11"/>
  <c r="G81" i="11"/>
  <c r="I80" i="11"/>
  <c r="G80" i="11"/>
  <c r="D79" i="11"/>
  <c r="I79" i="11" s="1"/>
  <c r="I78" i="11"/>
  <c r="I77" i="11"/>
  <c r="I75" i="11"/>
  <c r="I74" i="11"/>
  <c r="H73" i="11"/>
  <c r="I73" i="11" s="1"/>
  <c r="I72" i="11"/>
  <c r="J72" i="11" s="1"/>
  <c r="G72" i="11"/>
  <c r="D56" i="11"/>
  <c r="I56" i="11"/>
  <c r="I55" i="11"/>
  <c r="G55" i="11"/>
  <c r="D54" i="11"/>
  <c r="G54" i="11" s="1"/>
  <c r="D53" i="11"/>
  <c r="I53" i="11" s="1"/>
  <c r="I52" i="11"/>
  <c r="I51" i="11"/>
  <c r="I49" i="11"/>
  <c r="I48" i="11"/>
  <c r="I37" i="11"/>
  <c r="G37" i="11"/>
  <c r="I36" i="11"/>
  <c r="G36" i="11"/>
  <c r="J36" i="11" s="1"/>
  <c r="Q35" i="11"/>
  <c r="O35" i="11"/>
  <c r="I34" i="11"/>
  <c r="G34" i="11"/>
  <c r="J34" i="11" s="1"/>
  <c r="D33" i="11"/>
  <c r="I33" i="11" s="1"/>
  <c r="D32" i="11"/>
  <c r="I32" i="11" s="1"/>
  <c r="D31" i="11"/>
  <c r="I30" i="11"/>
  <c r="I29" i="11"/>
  <c r="I28" i="11"/>
  <c r="D26" i="11"/>
  <c r="I26" i="11" s="1"/>
  <c r="I25" i="11"/>
  <c r="I24" i="11"/>
  <c r="I23" i="11"/>
  <c r="G23" i="11"/>
  <c r="C4" i="10"/>
  <c r="A4" i="10"/>
  <c r="G3" i="10"/>
  <c r="C3" i="10"/>
  <c r="A3" i="10"/>
  <c r="G2" i="10"/>
  <c r="C2" i="10"/>
  <c r="A2" i="10"/>
  <c r="J1" i="10"/>
  <c r="C1" i="10"/>
  <c r="A1" i="10"/>
  <c r="A4" i="5"/>
  <c r="G3" i="5"/>
  <c r="C3" i="5"/>
  <c r="A3" i="5"/>
  <c r="H2" i="5"/>
  <c r="G2" i="5"/>
  <c r="C2" i="5"/>
  <c r="A2" i="5"/>
  <c r="J1" i="5"/>
  <c r="C1" i="5"/>
  <c r="A1" i="5"/>
  <c r="J198" i="4"/>
  <c r="H199" i="4"/>
  <c r="G200" i="4"/>
  <c r="G199" i="4"/>
  <c r="C200" i="4"/>
  <c r="C199" i="4"/>
  <c r="C198" i="4"/>
  <c r="A201" i="4"/>
  <c r="A200" i="4"/>
  <c r="A199" i="4"/>
  <c r="A198" i="4"/>
  <c r="J174" i="4"/>
  <c r="H175" i="4"/>
  <c r="G176" i="4"/>
  <c r="G175" i="4"/>
  <c r="C176" i="4"/>
  <c r="C175" i="4"/>
  <c r="C174" i="4"/>
  <c r="A177" i="4"/>
  <c r="A176" i="4"/>
  <c r="A175" i="4"/>
  <c r="A174" i="4"/>
  <c r="J150" i="4"/>
  <c r="H151" i="4"/>
  <c r="G152" i="4"/>
  <c r="G151" i="4"/>
  <c r="C152" i="4"/>
  <c r="C151" i="4"/>
  <c r="C150" i="4"/>
  <c r="A153" i="4"/>
  <c r="A152" i="4"/>
  <c r="A151" i="4"/>
  <c r="A150" i="4"/>
  <c r="J126" i="4"/>
  <c r="H127" i="4"/>
  <c r="G128" i="4"/>
  <c r="G127" i="4"/>
  <c r="C128" i="4"/>
  <c r="C126" i="4"/>
  <c r="A129" i="4"/>
  <c r="A128" i="4"/>
  <c r="A127" i="4"/>
  <c r="A126" i="4"/>
  <c r="J101" i="4"/>
  <c r="H102" i="4"/>
  <c r="G103" i="4"/>
  <c r="G102" i="4"/>
  <c r="C103" i="4"/>
  <c r="C102" i="4"/>
  <c r="C101" i="4"/>
  <c r="A104" i="4"/>
  <c r="A103" i="4"/>
  <c r="A102" i="4"/>
  <c r="A101" i="4"/>
  <c r="J76" i="4"/>
  <c r="H77" i="4"/>
  <c r="G78" i="4"/>
  <c r="G77" i="4"/>
  <c r="C78" i="4"/>
  <c r="C76" i="4"/>
  <c r="A79" i="4"/>
  <c r="A78" i="4"/>
  <c r="A77" i="4"/>
  <c r="A76" i="4"/>
  <c r="J51" i="4"/>
  <c r="H52" i="4"/>
  <c r="G53" i="4"/>
  <c r="G52" i="4"/>
  <c r="C53" i="4"/>
  <c r="C52" i="4"/>
  <c r="C51" i="4"/>
  <c r="A54" i="4"/>
  <c r="A53" i="4"/>
  <c r="A52" i="4"/>
  <c r="A51" i="4"/>
  <c r="J25" i="4"/>
  <c r="H26" i="4"/>
  <c r="G27" i="4"/>
  <c r="G26" i="4"/>
  <c r="C27" i="4"/>
  <c r="C26" i="4"/>
  <c r="C25" i="4"/>
  <c r="A28" i="4"/>
  <c r="A27" i="4"/>
  <c r="A26" i="4"/>
  <c r="A25" i="4"/>
  <c r="A4" i="4"/>
  <c r="G3" i="4"/>
  <c r="C3" i="4"/>
  <c r="A3" i="4"/>
  <c r="H2" i="4"/>
  <c r="G2" i="4"/>
  <c r="C2" i="4"/>
  <c r="A2" i="4"/>
  <c r="J1" i="4"/>
  <c r="C1" i="4"/>
  <c r="A1" i="4"/>
  <c r="G3" i="3"/>
  <c r="G2" i="3"/>
  <c r="A4" i="3"/>
  <c r="A3" i="3"/>
  <c r="A2" i="3"/>
  <c r="A1" i="3"/>
  <c r="C1" i="3"/>
  <c r="C3" i="3"/>
  <c r="H2" i="3"/>
  <c r="J1" i="3"/>
  <c r="I14" i="3"/>
  <c r="E14" i="9"/>
  <c r="C14" i="9"/>
  <c r="J14" i="9"/>
  <c r="J11" i="9"/>
  <c r="C11" i="9"/>
  <c r="B7" i="9"/>
  <c r="D7" i="9" s="1"/>
  <c r="B5" i="9"/>
  <c r="F5" i="9" s="1"/>
  <c r="B4" i="9"/>
  <c r="D4" i="9" s="1"/>
  <c r="G4" i="9"/>
  <c r="B3" i="9"/>
  <c r="J3" i="9" s="1"/>
  <c r="P16" i="9"/>
  <c r="P17" i="9"/>
  <c r="P18" i="9"/>
  <c r="P15" i="9"/>
  <c r="P4" i="9"/>
  <c r="P5" i="9"/>
  <c r="P13" i="9"/>
  <c r="P3" i="9"/>
  <c r="B39" i="9"/>
  <c r="C39" i="9" s="1"/>
  <c r="B35" i="9"/>
  <c r="E35" i="9" s="1"/>
  <c r="B34" i="9"/>
  <c r="D34" i="9" s="1"/>
  <c r="B33" i="9"/>
  <c r="J33" i="9" s="1"/>
  <c r="B32" i="9"/>
  <c r="B30" i="9"/>
  <c r="C30" i="9" s="1"/>
  <c r="D30" i="9"/>
  <c r="B29" i="9"/>
  <c r="J29" i="9" s="1"/>
  <c r="B28" i="9"/>
  <c r="D28" i="9"/>
  <c r="B27" i="9"/>
  <c r="C27" i="9" s="1"/>
  <c r="B26" i="9"/>
  <c r="F26" i="9" s="1"/>
  <c r="B25" i="9"/>
  <c r="G25" i="9" s="1"/>
  <c r="B24" i="9"/>
  <c r="C24" i="9" s="1"/>
  <c r="B23" i="9"/>
  <c r="J23" i="9" s="1"/>
  <c r="B22" i="9"/>
  <c r="F22" i="9" s="1"/>
  <c r="M18" i="9"/>
  <c r="M17" i="9"/>
  <c r="M13" i="9"/>
  <c r="M16" i="9"/>
  <c r="M15" i="9"/>
  <c r="J37" i="9"/>
  <c r="F37" i="9"/>
  <c r="D37" i="9"/>
  <c r="C37" i="9"/>
  <c r="J36" i="9"/>
  <c r="G36" i="9"/>
  <c r="E36" i="9"/>
  <c r="C36" i="9"/>
  <c r="E16" i="9"/>
  <c r="J16" i="9"/>
  <c r="C16" i="9"/>
  <c r="F16" i="9"/>
  <c r="J18" i="9"/>
  <c r="E18" i="9"/>
  <c r="K18" i="9"/>
  <c r="C18" i="9"/>
  <c r="J17" i="9"/>
  <c r="E17" i="9"/>
  <c r="D17" i="9"/>
  <c r="E15" i="9"/>
  <c r="E13" i="9"/>
  <c r="C17" i="9"/>
  <c r="J15" i="9"/>
  <c r="C15" i="9"/>
  <c r="J13" i="9"/>
  <c r="J38" i="9"/>
  <c r="F38" i="9"/>
  <c r="D38" i="9"/>
  <c r="C38" i="9"/>
  <c r="F32" i="9"/>
  <c r="J31" i="9"/>
  <c r="D31" i="9"/>
  <c r="C31" i="9"/>
  <c r="G31" i="9"/>
  <c r="G28" i="9"/>
  <c r="F21" i="9"/>
  <c r="J21" i="9"/>
  <c r="D21" i="9"/>
  <c r="C21" i="9"/>
  <c r="J20" i="9"/>
  <c r="F20" i="9"/>
  <c r="D20" i="9"/>
  <c r="C20" i="9"/>
  <c r="F19" i="9"/>
  <c r="D19" i="9"/>
  <c r="C19" i="9"/>
  <c r="C25" i="9"/>
  <c r="C127" i="4"/>
  <c r="C77" i="4"/>
  <c r="C2" i="3"/>
  <c r="G39" i="9"/>
  <c r="F39" i="9"/>
  <c r="E39" i="9"/>
  <c r="I41" i="9"/>
  <c r="I42" i="9" s="1"/>
  <c r="I43" i="9" s="1"/>
  <c r="D18" i="3" s="1"/>
  <c r="I18" i="3" s="1"/>
  <c r="J19" i="9"/>
  <c r="C13" i="9"/>
  <c r="I108" i="4"/>
  <c r="G136" i="4"/>
  <c r="I136" i="4"/>
  <c r="J30" i="9"/>
  <c r="G30" i="9"/>
  <c r="C29" i="9"/>
  <c r="D29" i="9"/>
  <c r="J28" i="9"/>
  <c r="L135" i="4"/>
  <c r="L161" i="4"/>
  <c r="L157" i="4"/>
  <c r="I134" i="4"/>
  <c r="J134" i="4" s="1"/>
  <c r="L134" i="4"/>
  <c r="I161" i="4"/>
  <c r="G110" i="4"/>
  <c r="I20" i="8"/>
  <c r="I17" i="8"/>
  <c r="J9" i="8"/>
  <c r="I16" i="8"/>
  <c r="I25" i="8"/>
  <c r="J190" i="4"/>
  <c r="H97" i="11"/>
  <c r="I97" i="11" s="1"/>
  <c r="I31" i="11"/>
  <c r="G161" i="4"/>
  <c r="J161" i="4"/>
  <c r="J91" i="4"/>
  <c r="I113" i="4"/>
  <c r="I58" i="4"/>
  <c r="J34" i="4"/>
  <c r="L159" i="4"/>
  <c r="D187" i="4"/>
  <c r="G187" i="4" s="1"/>
  <c r="J137" i="4"/>
  <c r="G159" i="4"/>
  <c r="G41" i="4"/>
  <c r="J40" i="5"/>
  <c r="G133" i="4"/>
  <c r="G58" i="4"/>
  <c r="G92" i="4"/>
  <c r="J92" i="4" s="1"/>
  <c r="I21" i="5"/>
  <c r="I48" i="6"/>
  <c r="D40" i="6"/>
  <c r="I40" i="6" s="1"/>
  <c r="I39" i="6"/>
  <c r="G15" i="6"/>
  <c r="J15" i="6"/>
  <c r="D37" i="6"/>
  <c r="I37" i="6" s="1"/>
  <c r="I35" i="6"/>
  <c r="G23" i="6"/>
  <c r="G17" i="6"/>
  <c r="C24" i="1"/>
  <c r="G8" i="3"/>
  <c r="J8" i="3" s="1"/>
  <c r="C12" i="9"/>
  <c r="J12" i="9"/>
  <c r="D12" i="9"/>
  <c r="I12" i="3"/>
  <c r="G12" i="3"/>
  <c r="F56" i="11"/>
  <c r="F83" i="11" s="1"/>
  <c r="G83" i="11" s="1"/>
  <c r="J83" i="11" s="1"/>
  <c r="F53" i="11"/>
  <c r="F79" i="11" s="1"/>
  <c r="G79" i="11" s="1"/>
  <c r="J79" i="11" s="1"/>
  <c r="I13" i="3"/>
  <c r="J32" i="9"/>
  <c r="D32" i="9"/>
  <c r="C32" i="9"/>
  <c r="G32" i="11"/>
  <c r="D27" i="9"/>
  <c r="J27" i="9"/>
  <c r="F27" i="9"/>
  <c r="G28" i="11"/>
  <c r="J28" i="11" s="1"/>
  <c r="F52" i="11"/>
  <c r="F78" i="11" s="1"/>
  <c r="G78" i="11" s="1"/>
  <c r="J78" i="11" s="1"/>
  <c r="D23" i="9"/>
  <c r="G11" i="9"/>
  <c r="I10" i="3"/>
  <c r="G19" i="8"/>
  <c r="I182" i="4"/>
  <c r="J4" i="9"/>
  <c r="C4" i="9"/>
  <c r="I45" i="6"/>
  <c r="I19" i="7"/>
  <c r="J19" i="7" s="1"/>
  <c r="D17" i="5"/>
  <c r="I17" i="5"/>
  <c r="C28" i="9"/>
  <c r="G182" i="4"/>
  <c r="J182" i="4" s="1"/>
  <c r="G17" i="5"/>
  <c r="J186" i="4"/>
  <c r="G37" i="6"/>
  <c r="J37" i="6" s="1"/>
  <c r="J10" i="6"/>
  <c r="G157" i="4"/>
  <c r="J157" i="4" s="1"/>
  <c r="G12" i="8"/>
  <c r="J12" i="8" s="1"/>
  <c r="G24" i="8" l="1"/>
  <c r="I24" i="8"/>
  <c r="I88" i="4"/>
  <c r="G88" i="4"/>
  <c r="J88" i="4" s="1"/>
  <c r="I23" i="3"/>
  <c r="G23" i="3"/>
  <c r="J135" i="4"/>
  <c r="J24" i="9"/>
  <c r="J25" i="11"/>
  <c r="J77" i="11"/>
  <c r="J41" i="6"/>
  <c r="J47" i="6"/>
  <c r="J23" i="7"/>
  <c r="J207" i="4"/>
  <c r="J216" i="4"/>
  <c r="D25" i="6"/>
  <c r="M36" i="4"/>
  <c r="D36" i="4" s="1"/>
  <c r="D35" i="11"/>
  <c r="G35" i="11" s="1"/>
  <c r="I184" i="4"/>
  <c r="J184" i="4" s="1"/>
  <c r="I135" i="4"/>
  <c r="F33" i="9"/>
  <c r="D24" i="9"/>
  <c r="G9" i="5"/>
  <c r="J9" i="5" s="1"/>
  <c r="D33" i="9"/>
  <c r="F29" i="9"/>
  <c r="D8" i="9"/>
  <c r="J81" i="11"/>
  <c r="J74" i="11"/>
  <c r="J33" i="5"/>
  <c r="G16" i="8"/>
  <c r="G25" i="8"/>
  <c r="J25" i="8" s="1"/>
  <c r="J20" i="5"/>
  <c r="J38" i="5"/>
  <c r="J195" i="4"/>
  <c r="G16" i="3"/>
  <c r="J16" i="3" s="1"/>
  <c r="D21" i="6"/>
  <c r="J23" i="6"/>
  <c r="D15" i="5"/>
  <c r="G40" i="6"/>
  <c r="J40" i="6" s="1"/>
  <c r="C33" i="9"/>
  <c r="I19" i="6"/>
  <c r="J19" i="6" s="1"/>
  <c r="G43" i="6"/>
  <c r="J43" i="6" s="1"/>
  <c r="I33" i="7"/>
  <c r="I22" i="8"/>
  <c r="L160" i="4"/>
  <c r="G24" i="9"/>
  <c r="E33" i="9"/>
  <c r="E41" i="9" s="1"/>
  <c r="E42" i="9" s="1"/>
  <c r="E43" i="9" s="1"/>
  <c r="J23" i="11"/>
  <c r="J80" i="11"/>
  <c r="J82" i="11"/>
  <c r="J84" i="11"/>
  <c r="J39" i="5"/>
  <c r="J183" i="4"/>
  <c r="G22" i="8"/>
  <c r="J22" i="5"/>
  <c r="J37" i="5"/>
  <c r="J21" i="5"/>
  <c r="G160" i="4"/>
  <c r="J160" i="4" s="1"/>
  <c r="H8" i="9"/>
  <c r="D20" i="3"/>
  <c r="L158" i="4"/>
  <c r="I24" i="3"/>
  <c r="G24" i="3"/>
  <c r="J24" i="3" s="1"/>
  <c r="G87" i="4"/>
  <c r="I87" i="4"/>
  <c r="I21" i="6"/>
  <c r="G21" i="6"/>
  <c r="J21" i="6" s="1"/>
  <c r="J133" i="4"/>
  <c r="J11" i="7"/>
  <c r="C23" i="9"/>
  <c r="J12" i="3"/>
  <c r="J35" i="7"/>
  <c r="J108" i="4"/>
  <c r="I11" i="5"/>
  <c r="G23" i="9"/>
  <c r="J8" i="9"/>
  <c r="I16" i="3"/>
  <c r="I18" i="6"/>
  <c r="J18" i="6" s="1"/>
  <c r="G59" i="4"/>
  <c r="J59" i="4" s="1"/>
  <c r="G192" i="4"/>
  <c r="J192" i="4" s="1"/>
  <c r="G3" i="9"/>
  <c r="H9" i="9"/>
  <c r="J99" i="11"/>
  <c r="J29" i="11"/>
  <c r="J20" i="7"/>
  <c r="J43" i="7"/>
  <c r="J191" i="4"/>
  <c r="G18" i="8"/>
  <c r="J18" i="5"/>
  <c r="D6" i="9"/>
  <c r="J211" i="4"/>
  <c r="J14" i="6"/>
  <c r="J39" i="6"/>
  <c r="G185" i="4"/>
  <c r="J185" i="4" s="1"/>
  <c r="J100" i="11"/>
  <c r="J30" i="11"/>
  <c r="I17" i="6"/>
  <c r="J17" i="6" s="1"/>
  <c r="J40" i="7"/>
  <c r="J212" i="4"/>
  <c r="J19" i="5"/>
  <c r="J39" i="4"/>
  <c r="F6" i="9"/>
  <c r="J23" i="3"/>
  <c r="J35" i="6"/>
  <c r="J17" i="5"/>
  <c r="J7" i="9"/>
  <c r="G52" i="11"/>
  <c r="J52" i="11" s="1"/>
  <c r="I21" i="3"/>
  <c r="I187" i="4"/>
  <c r="J187" i="4" s="1"/>
  <c r="D210" i="4"/>
  <c r="I210" i="4" s="1"/>
  <c r="I209" i="4"/>
  <c r="J209" i="4" s="1"/>
  <c r="J34" i="9"/>
  <c r="J9" i="9"/>
  <c r="J136" i="4"/>
  <c r="G26" i="11"/>
  <c r="J26" i="11" s="1"/>
  <c r="J45" i="6"/>
  <c r="C9" i="9"/>
  <c r="G188" i="4"/>
  <c r="J188" i="4" s="1"/>
  <c r="J208" i="4"/>
  <c r="D10" i="9"/>
  <c r="F98" i="11"/>
  <c r="G98" i="11" s="1"/>
  <c r="J98" i="11" s="1"/>
  <c r="G21" i="3"/>
  <c r="G51" i="11"/>
  <c r="J51" i="11" s="1"/>
  <c r="F34" i="9"/>
  <c r="J96" i="11"/>
  <c r="J24" i="11"/>
  <c r="J11" i="6"/>
  <c r="J15" i="7"/>
  <c r="J48" i="6"/>
  <c r="G158" i="4"/>
  <c r="J158" i="4" s="1"/>
  <c r="J13" i="3"/>
  <c r="I20" i="6"/>
  <c r="J20" i="6" s="1"/>
  <c r="I49" i="6"/>
  <c r="J49" i="6" s="1"/>
  <c r="I20" i="3"/>
  <c r="D12" i="5"/>
  <c r="D13" i="5" s="1"/>
  <c r="C10" i="9"/>
  <c r="J10" i="9"/>
  <c r="G93" i="4"/>
  <c r="J93" i="4" s="1"/>
  <c r="J159" i="4"/>
  <c r="C34" i="9"/>
  <c r="J37" i="11"/>
  <c r="J55" i="11"/>
  <c r="J73" i="11"/>
  <c r="J41" i="7"/>
  <c r="G16" i="7"/>
  <c r="J16" i="7" s="1"/>
  <c r="J181" i="4"/>
  <c r="J214" i="4"/>
  <c r="J20" i="8"/>
  <c r="J110" i="4"/>
  <c r="J33" i="4"/>
  <c r="J61" i="4"/>
  <c r="J23" i="8"/>
  <c r="J19" i="8"/>
  <c r="J18" i="8"/>
  <c r="J17" i="8"/>
  <c r="J16" i="8"/>
  <c r="J14" i="8"/>
  <c r="J11" i="8"/>
  <c r="J39" i="7"/>
  <c r="J38" i="7"/>
  <c r="J33" i="7"/>
  <c r="J32" i="7"/>
  <c r="J17" i="7"/>
  <c r="J14" i="7"/>
  <c r="J12" i="7"/>
  <c r="J9" i="7"/>
  <c r="J8" i="7"/>
  <c r="J215" i="4"/>
  <c r="J205" i="4"/>
  <c r="J206" i="4"/>
  <c r="J58" i="4"/>
  <c r="J41" i="4"/>
  <c r="J25" i="3"/>
  <c r="J14" i="3"/>
  <c r="G17" i="3"/>
  <c r="J17" i="3" s="1"/>
  <c r="G48" i="11"/>
  <c r="J48" i="11" s="1"/>
  <c r="G53" i="11"/>
  <c r="J53" i="11" s="1"/>
  <c r="G31" i="11"/>
  <c r="J31" i="11" s="1"/>
  <c r="G18" i="7"/>
  <c r="G21" i="8"/>
  <c r="J21" i="8" s="1"/>
  <c r="G10" i="3"/>
  <c r="J10" i="3" s="1"/>
  <c r="J32" i="11"/>
  <c r="I21" i="7"/>
  <c r="G21" i="7"/>
  <c r="I36" i="4"/>
  <c r="G36" i="4"/>
  <c r="J36" i="4" s="1"/>
  <c r="I90" i="4"/>
  <c r="G90" i="4"/>
  <c r="I16" i="5"/>
  <c r="G16" i="5"/>
  <c r="G83" i="4"/>
  <c r="I83" i="4"/>
  <c r="D19" i="3"/>
  <c r="G18" i="3"/>
  <c r="F41" i="9"/>
  <c r="F42" i="9" s="1"/>
  <c r="F43" i="9" s="1"/>
  <c r="J64" i="4"/>
  <c r="G85" i="4"/>
  <c r="I85" i="4"/>
  <c r="I84" i="4"/>
  <c r="G84" i="4"/>
  <c r="I89" i="4"/>
  <c r="G89" i="4"/>
  <c r="J173" i="4"/>
  <c r="J13" i="4" s="1"/>
  <c r="J5" i="9"/>
  <c r="G56" i="11"/>
  <c r="J56" i="11" s="1"/>
  <c r="C22" i="9"/>
  <c r="C35" i="9"/>
  <c r="D22" i="9"/>
  <c r="D13" i="8"/>
  <c r="J22" i="9"/>
  <c r="F97" i="11"/>
  <c r="G97" i="11" s="1"/>
  <c r="J97" i="11" s="1"/>
  <c r="C26" i="9"/>
  <c r="J25" i="9"/>
  <c r="J35" i="9"/>
  <c r="C5" i="9"/>
  <c r="G33" i="11"/>
  <c r="J33" i="11" s="1"/>
  <c r="G11" i="5"/>
  <c r="D26" i="9"/>
  <c r="J26" i="9"/>
  <c r="F7" i="9"/>
  <c r="I54" i="11"/>
  <c r="J54" i="11" s="1"/>
  <c r="I111" i="4"/>
  <c r="J111" i="4" s="1"/>
  <c r="F49" i="11"/>
  <c r="C3" i="9"/>
  <c r="I35" i="11"/>
  <c r="J35" i="11" s="1"/>
  <c r="I194" i="4"/>
  <c r="J194" i="4" s="1"/>
  <c r="G36" i="6"/>
  <c r="J36" i="6" s="1"/>
  <c r="D3" i="9"/>
  <c r="D25" i="9"/>
  <c r="D5" i="9"/>
  <c r="C7" i="9"/>
  <c r="H35" i="9"/>
  <c r="I18" i="7"/>
  <c r="G193" i="4"/>
  <c r="J193" i="4" s="1"/>
  <c r="G210" i="4"/>
  <c r="J210" i="4" s="1"/>
  <c r="J11" i="5" l="1"/>
  <c r="H41" i="9"/>
  <c r="H42" i="9" s="1"/>
  <c r="H43" i="9" s="1"/>
  <c r="J16" i="5"/>
  <c r="J149" i="4"/>
  <c r="J12" i="4" s="1"/>
  <c r="J18" i="7"/>
  <c r="G15" i="5"/>
  <c r="I15" i="5"/>
  <c r="J15" i="5" s="1"/>
  <c r="J20" i="3"/>
  <c r="G41" i="9"/>
  <c r="G42" i="9" s="1"/>
  <c r="G43" i="9" s="1"/>
  <c r="D22" i="3"/>
  <c r="G20" i="3"/>
  <c r="J22" i="8"/>
  <c r="I25" i="6"/>
  <c r="G25" i="6"/>
  <c r="J25" i="6" s="1"/>
  <c r="J24" i="8"/>
  <c r="I13" i="5"/>
  <c r="G13" i="5"/>
  <c r="J90" i="4"/>
  <c r="J26" i="6"/>
  <c r="J33" i="6" s="1"/>
  <c r="J50" i="6" s="1"/>
  <c r="J12" i="2" s="1"/>
  <c r="J125" i="4"/>
  <c r="J11" i="4" s="1"/>
  <c r="J221" i="4"/>
  <c r="J15" i="4" s="1"/>
  <c r="J41" i="9"/>
  <c r="J42" i="9" s="1"/>
  <c r="J21" i="7"/>
  <c r="J24" i="7" s="1"/>
  <c r="J31" i="7" s="1"/>
  <c r="J50" i="7" s="1"/>
  <c r="J13" i="2" s="1"/>
  <c r="J87" i="4"/>
  <c r="I12" i="5"/>
  <c r="G12" i="5"/>
  <c r="J50" i="4"/>
  <c r="J8" i="4" s="1"/>
  <c r="J110" i="11"/>
  <c r="J111" i="11" s="1"/>
  <c r="J112" i="11" s="1"/>
  <c r="J14" i="11" s="1"/>
  <c r="J75" i="4"/>
  <c r="J9" i="4" s="1"/>
  <c r="J197" i="4"/>
  <c r="J14" i="4" s="1"/>
  <c r="J21" i="3"/>
  <c r="J84" i="4"/>
  <c r="J83" i="4"/>
  <c r="J38" i="11"/>
  <c r="J39" i="11" s="1"/>
  <c r="J40" i="11" s="1"/>
  <c r="J8" i="11" s="1"/>
  <c r="J85" i="4"/>
  <c r="J89" i="4"/>
  <c r="D41" i="9"/>
  <c r="D42" i="9" s="1"/>
  <c r="D43" i="9" s="1"/>
  <c r="C41" i="9"/>
  <c r="C42" i="9" s="1"/>
  <c r="G49" i="11"/>
  <c r="J49" i="11" s="1"/>
  <c r="J62" i="11" s="1"/>
  <c r="J63" i="11" s="1"/>
  <c r="J64" i="11" s="1"/>
  <c r="J10" i="11" s="1"/>
  <c r="F75" i="11"/>
  <c r="G75" i="11" s="1"/>
  <c r="J75" i="11" s="1"/>
  <c r="J87" i="11" s="1"/>
  <c r="J88" i="11" s="1"/>
  <c r="J12" i="11" s="1"/>
  <c r="I13" i="8"/>
  <c r="G13" i="8"/>
  <c r="J13" i="8" s="1"/>
  <c r="J28" i="8" s="1"/>
  <c r="J14" i="2" s="1"/>
  <c r="J18" i="3"/>
  <c r="G19" i="3"/>
  <c r="I19" i="3"/>
  <c r="I22" i="3" l="1"/>
  <c r="G22" i="3"/>
  <c r="J22" i="3" s="1"/>
  <c r="J12" i="5"/>
  <c r="J13" i="5"/>
  <c r="J20" i="2"/>
  <c r="E14" i="1"/>
  <c r="I14" i="1" s="1"/>
  <c r="J100" i="4"/>
  <c r="J10" i="4" s="1"/>
  <c r="J24" i="4" s="1"/>
  <c r="J10" i="2" s="1"/>
  <c r="J19" i="3"/>
  <c r="J26" i="3" s="1"/>
  <c r="J9" i="2" s="1"/>
  <c r="J25" i="5" l="1"/>
  <c r="J32" i="5" s="1"/>
  <c r="J49" i="5" s="1"/>
  <c r="J11" i="2" s="1"/>
  <c r="J15" i="2" s="1"/>
  <c r="J22" i="2" l="1"/>
  <c r="P8" i="13" s="1"/>
  <c r="P11" i="13" s="1"/>
  <c r="E13" i="1"/>
  <c r="I13" i="1" s="1"/>
  <c r="I23" i="1" l="1"/>
  <c r="C26" i="1"/>
  <c r="P10" i="13"/>
  <c r="G23" i="13" s="1"/>
  <c r="G26" i="13"/>
  <c r="G24" i="13"/>
  <c r="I23" i="13"/>
  <c r="P12" i="13"/>
  <c r="H18" i="13"/>
  <c r="R11" i="13"/>
  <c r="C23" i="13" l="1"/>
  <c r="A23" i="13"/>
  <c r="H20" i="13"/>
  <c r="E24" i="13"/>
  <c r="H19" i="13"/>
  <c r="R12" i="13"/>
  <c r="E23" i="13" l="1"/>
  <c r="P18" i="13" s="1"/>
  <c r="P19" i="13" s="1"/>
  <c r="P20" i="13" s="1"/>
  <c r="G27" i="13" s="1"/>
  <c r="H21" i="13"/>
</calcChain>
</file>

<file path=xl/sharedStrings.xml><?xml version="1.0" encoding="utf-8"?>
<sst xmlns="http://schemas.openxmlformats.org/spreadsheetml/2006/main" count="1402" uniqueCount="589">
  <si>
    <t xml:space="preserve">ฝ่ายประมาณราคา   </t>
  </si>
  <si>
    <t xml:space="preserve">คิดเป็นเงินประมาณ </t>
  </si>
  <si>
    <t>สรุปผลการประมาณราคาค่าก่อสร้าง</t>
  </si>
  <si>
    <t>ลำดับที่</t>
  </si>
  <si>
    <t>รายการ</t>
  </si>
  <si>
    <t>ค่าวัสดุและค่าแรงงาน</t>
  </si>
  <si>
    <t>Factor F</t>
  </si>
  <si>
    <t>รวมค่าก่อสร้าง</t>
  </si>
  <si>
    <t>หมายเหตุ</t>
  </si>
  <si>
    <t>ค่าวัสดุและค่าแรงงานหมวดงานก่อสร้าง</t>
  </si>
  <si>
    <t>เงื่อนไข</t>
  </si>
  <si>
    <t>เงินล่วงหน้าจ่าย</t>
  </si>
  <si>
    <t>สรุป</t>
  </si>
  <si>
    <t>รวมค่าก่อสร้างเป็นเงินทั้งสิ้น</t>
  </si>
  <si>
    <t>ขนาดหรือเนื้อที่</t>
  </si>
  <si>
    <t xml:space="preserve">                                                                                       </t>
  </si>
  <si>
    <t>เฉลี่ยราคาประมาณ</t>
  </si>
  <si>
    <t xml:space="preserve">สถานที่ก่อสร้าง  </t>
  </si>
  <si>
    <t>จำนวน</t>
  </si>
  <si>
    <t>หน่วย</t>
  </si>
  <si>
    <t>ราคาวัสดุ</t>
  </si>
  <si>
    <t>ค่าแรงงาน</t>
  </si>
  <si>
    <t>รวมค่าวัสดุ</t>
  </si>
  <si>
    <t>ราคาหน่วยละ</t>
  </si>
  <si>
    <t>จำนวนเงิน</t>
  </si>
  <si>
    <t>และค่าแรงงาน</t>
  </si>
  <si>
    <t>ลวดผูกเหล็ก</t>
  </si>
  <si>
    <t>รวมยอดยกไป</t>
  </si>
  <si>
    <t>รวมยอดยกมา</t>
  </si>
  <si>
    <t>หมวดงานสถาปัตยกรรม</t>
  </si>
  <si>
    <t>2.1.1</t>
  </si>
  <si>
    <t>ท่อน</t>
  </si>
  <si>
    <t>2.1.2</t>
  </si>
  <si>
    <t>2.1.3</t>
  </si>
  <si>
    <t>2.1.4</t>
  </si>
  <si>
    <t>2.1.5</t>
  </si>
  <si>
    <t>2.1.6</t>
  </si>
  <si>
    <t>2.1.7</t>
  </si>
  <si>
    <t>ชุด</t>
  </si>
  <si>
    <t>2.2.1</t>
  </si>
  <si>
    <t>ตร.ม.</t>
  </si>
  <si>
    <t>2.2.3</t>
  </si>
  <si>
    <t>2.2.4</t>
  </si>
  <si>
    <t>2.3.1</t>
  </si>
  <si>
    <t>2.3.2</t>
  </si>
  <si>
    <t>2.3.3</t>
  </si>
  <si>
    <t>2.3.4</t>
  </si>
  <si>
    <t>2.4.1</t>
  </si>
  <si>
    <t>2.4.2</t>
  </si>
  <si>
    <t>2.4.3</t>
  </si>
  <si>
    <t>2.4.4</t>
  </si>
  <si>
    <t>2.5.1</t>
  </si>
  <si>
    <t>2.5.2</t>
  </si>
  <si>
    <t>2.5.3</t>
  </si>
  <si>
    <t>2.5.4</t>
  </si>
  <si>
    <t>2.6.1</t>
  </si>
  <si>
    <t>2.6.2</t>
  </si>
  <si>
    <t>2.6.3</t>
  </si>
  <si>
    <t>2.6.4</t>
  </si>
  <si>
    <t>2.7.1</t>
  </si>
  <si>
    <t>2.7.2</t>
  </si>
  <si>
    <t>2.7.3</t>
  </si>
  <si>
    <t>2.7.4</t>
  </si>
  <si>
    <t>2.7.5</t>
  </si>
  <si>
    <t>2.7.6</t>
  </si>
  <si>
    <t>2.7.7</t>
  </si>
  <si>
    <t>จุด</t>
  </si>
  <si>
    <t>2.8.1</t>
  </si>
  <si>
    <t>2.8.2</t>
  </si>
  <si>
    <t>หมวดงานประปาและสุขาภิบาล</t>
  </si>
  <si>
    <t>ต้น</t>
  </si>
  <si>
    <t>ม.</t>
  </si>
  <si>
    <t>ลบ.ม.</t>
  </si>
  <si>
    <t>กก.</t>
  </si>
  <si>
    <t>ลบ.ฟ.</t>
  </si>
  <si>
    <t>แบบ ปร.5</t>
  </si>
  <si>
    <t>จำนวนเงิน/บาท</t>
  </si>
  <si>
    <t>เป็นเงิน/บาท</t>
  </si>
  <si>
    <t>เงินประกันผลงานหัก                                      0.00%</t>
  </si>
  <si>
    <t>ดอกเบี้ยเงินกู้                                                     6.00%</t>
  </si>
  <si>
    <t>ค่าภาษีมูลค่าเพิ่ม                                               7.00%</t>
  </si>
  <si>
    <t>ตารางเมตร (เฉพาะตัวอาคารไม่รวมงานบริเวณ)</t>
  </si>
  <si>
    <t>บาท/ตารางเมตร  (เฉพาะตัวอาคารไม่รวมงานบริเวณ)</t>
  </si>
  <si>
    <t>ส่วนที่ 1  ค่าวัสดุและค่าแรงงานหมวดงานก่อสร้าง (ทุน)</t>
  </si>
  <si>
    <t>หมวดงานวิศวกรรมโครงสร้าง (ไม่รวมงานฐานราก)</t>
  </si>
  <si>
    <t>ก.ก.</t>
  </si>
  <si>
    <t>ป.1</t>
  </si>
  <si>
    <t>วัสดุ + แรง</t>
  </si>
  <si>
    <t>ป.2</t>
  </si>
  <si>
    <t xml:space="preserve">ป.3 </t>
  </si>
  <si>
    <t xml:space="preserve">ป.4 </t>
  </si>
  <si>
    <t xml:space="preserve">น.1 </t>
  </si>
  <si>
    <t xml:space="preserve">น.2 </t>
  </si>
  <si>
    <t>น.3</t>
  </si>
  <si>
    <t xml:space="preserve">น.4 </t>
  </si>
  <si>
    <t>โถส้วมชักโครกนั่งราบ</t>
  </si>
  <si>
    <t>ฝักบัวอาบน้ำสายอ่อน</t>
  </si>
  <si>
    <t>โถปัสสาวะชาย</t>
  </si>
  <si>
    <t>หมวดงานถังพักน้ำบนดิน</t>
  </si>
  <si>
    <t>ยาว (ม),ตรม</t>
  </si>
  <si>
    <t>คอนกรีต</t>
  </si>
  <si>
    <t>RB 6 (ม)</t>
  </si>
  <si>
    <t>RB 9 (ม)</t>
  </si>
  <si>
    <t>DB 12 (ม)</t>
  </si>
  <si>
    <t>DB 16 (ม)</t>
  </si>
  <si>
    <t>DB 20 (ม)</t>
  </si>
  <si>
    <t>DB 25 (ม)</t>
  </si>
  <si>
    <t>ไม้แบบ</t>
  </si>
  <si>
    <t>s1</t>
  </si>
  <si>
    <t>s3</t>
  </si>
  <si>
    <t>gs</t>
  </si>
  <si>
    <t>B1</t>
  </si>
  <si>
    <t>B2</t>
  </si>
  <si>
    <t>B3</t>
  </si>
  <si>
    <t>B4</t>
  </si>
  <si>
    <t>B5</t>
  </si>
  <si>
    <t>B6</t>
  </si>
  <si>
    <t>B7</t>
  </si>
  <si>
    <t>B8</t>
  </si>
  <si>
    <t>B11</t>
  </si>
  <si>
    <t>B13</t>
  </si>
  <si>
    <t>GB1</t>
  </si>
  <si>
    <t>รวม</t>
  </si>
  <si>
    <t>เผื่อ</t>
  </si>
  <si>
    <t>Kg.</t>
  </si>
  <si>
    <t xml:space="preserve">ประมาณราคาโดย  </t>
  </si>
  <si>
    <t xml:space="preserve">ประมาณราคาค่าก่อสร้าง </t>
  </si>
  <si>
    <t xml:space="preserve">แบบเลขที่ </t>
  </si>
  <si>
    <t>B9</t>
  </si>
  <si>
    <t>B10</t>
  </si>
  <si>
    <t>B10 '</t>
  </si>
  <si>
    <t>B1 '</t>
  </si>
  <si>
    <t>B12 (รางน้ำ)</t>
  </si>
  <si>
    <t>B17</t>
  </si>
  <si>
    <t>s4</t>
  </si>
  <si>
    <t xml:space="preserve">ps </t>
  </si>
  <si>
    <t>ทรายหยาบ</t>
  </si>
  <si>
    <t>B14</t>
  </si>
  <si>
    <t>B15</t>
  </si>
  <si>
    <t>B16</t>
  </si>
  <si>
    <t>บันได A</t>
  </si>
  <si>
    <t>S1</t>
  </si>
  <si>
    <t>S2</t>
  </si>
  <si>
    <t>จำนวน (ตรม)</t>
  </si>
  <si>
    <t>S3</t>
  </si>
  <si>
    <t>S4</t>
  </si>
  <si>
    <t>PS</t>
  </si>
  <si>
    <t>C1.2</t>
  </si>
  <si>
    <t>จำนวน (ม)</t>
  </si>
  <si>
    <t>C1.3</t>
  </si>
  <si>
    <t>C1.4</t>
  </si>
  <si>
    <t>C1.5</t>
  </si>
  <si>
    <t>C2.2</t>
  </si>
  <si>
    <t>C2.3</t>
  </si>
  <si>
    <t>C2.4</t>
  </si>
  <si>
    <t>C2.5</t>
  </si>
  <si>
    <t>s2</t>
  </si>
  <si>
    <t>แบบ ปร.4   แผ่นที่</t>
  </si>
  <si>
    <t>หมวดงานผังบริเวณ</t>
  </si>
  <si>
    <t>-</t>
  </si>
  <si>
    <t>บ่อ</t>
  </si>
  <si>
    <t>รวมราคา หมวดงานผังบริเวณ เป็นเงิน</t>
  </si>
  <si>
    <t xml:space="preserve">ประมาณราคาค่าก่อสร้าง  </t>
  </si>
  <si>
    <t>คำนวณราคา หมวดงานผังบริเวณ</t>
  </si>
  <si>
    <t>หมวดงานถนน ค.ส.ล. ต่อ ตารางเมตร</t>
  </si>
  <si>
    <t xml:space="preserve">คิดเป็นเงิน     </t>
  </si>
  <si>
    <t>หมวดงานขอบคันถนน ค.ส.ล. ต่อ เมตร</t>
  </si>
  <si>
    <t>หมวดงานบ่อพักท่อระบายน้ำสำหรับท่อ Ø 0.30 ม. ต่อ บ่อ</t>
  </si>
  <si>
    <t>หมวดงานท่อระบายน้ำ ค.ส.ล. ต่อ เมตร</t>
  </si>
  <si>
    <t>หมวดงานถนน (ถนน ค.ส.ล. 4 x 4.5 ม. = 18 ตร.ม. พร้อมวัสดุรองพื้น)</t>
  </si>
  <si>
    <t>ปรับบดอัดดินเดิมและวัสดุรองพื้น</t>
  </si>
  <si>
    <t>หินคลุกบดอัดแน่น</t>
  </si>
  <si>
    <t>ทรายละเอียดบดอัดแน่น</t>
  </si>
  <si>
    <t>คอนกรีต ค.2</t>
  </si>
  <si>
    <t>เหล็กเสริมโครงสร้าง</t>
  </si>
  <si>
    <t>RB f Ø 9 mm. (SR.24)</t>
  </si>
  <si>
    <t>RB f Ø 12 mm. (SR.24)</t>
  </si>
  <si>
    <t>RB f Ø 19 mm. (SR.24)</t>
  </si>
  <si>
    <t>ไม้แบบข้าง (คิด 50%)</t>
  </si>
  <si>
    <t>ค่าแรงไม้แบบ</t>
  </si>
  <si>
    <t>ชุบแอสฟัลต์เหล็กรอยต่อ</t>
  </si>
  <si>
    <t>ตะปู</t>
  </si>
  <si>
    <t>บาท/กก(3")</t>
  </si>
  <si>
    <t>ยาแนวแอสฟัลท์ผสมทราย</t>
  </si>
  <si>
    <t>แต่งผิวคอนกรีตหยาบ</t>
  </si>
  <si>
    <t>รวมค่าวัสดุและแรงงาน</t>
  </si>
  <si>
    <t>เฉลี่ยราคาตารางเมตรละ</t>
  </si>
  <si>
    <t>รวมราคา หมวดงานถนน ค.ส.ล. ต่อ ตารางเมตร เป็นเงิน</t>
  </si>
  <si>
    <t>หมวดงานขอบคันถนน ค.ส.ล. (ขอบคันหิน ค.ส.ล. ยาว 100 ม.)</t>
  </si>
  <si>
    <t>ทรายหยาบชุ่มอัดแน่น</t>
  </si>
  <si>
    <t>RB f Ø 6 mm. (SR.24)</t>
  </si>
  <si>
    <t>ไม้แบบข้าง (คิด 50% )</t>
  </si>
  <si>
    <t>เฉลี่ยราคาเมตรละ</t>
  </si>
  <si>
    <t>รวมราคา หมวดงานขอบคันถนน ค.ส.ล. ต่อ เมตร เป็นเงิน</t>
  </si>
  <si>
    <t>หมวดงานบ่อพักท่อระบายน้ำสำหรับท่อ Ø 0.30 ม.</t>
  </si>
  <si>
    <t>ขุด-กลบ ดิน</t>
  </si>
  <si>
    <t>คอนกรีตหยาบ</t>
  </si>
  <si>
    <t>ไม้แบบทั่วไป (คิด 25 %)</t>
  </si>
  <si>
    <t>ค่าแรงไม้แบบ (คิด 100 %)</t>
  </si>
  <si>
    <t>ไม้เคร่า (คิด 30 % ของไม้แบบ)</t>
  </si>
  <si>
    <t>เหล็กฉาก 45 x 45 x 3 มม.</t>
  </si>
  <si>
    <t>รวมราคา หมวดงานบ่อพักท่อระบายน้ำสำหรับท่อ Ø 0.30 ม. ต่อ บ่อ เป็นเงิน</t>
  </si>
  <si>
    <t>หมวดงานท่อระบายน้ำ ค.ส.ล.  (Ø 0.30 ม. คิดช่วงละ 6.00 ม. 10 ช่วง = 60 ม)</t>
  </si>
  <si>
    <t>ทรายหยาบอัดแน่น</t>
  </si>
  <si>
    <t>ท่อ ค.ส.ล. ขนาด Ø 0.30 ม.</t>
  </si>
  <si>
    <t>ยาแนวรอยต่อท่อหนา 0.05 ม.</t>
  </si>
  <si>
    <t>รวมราคา หมวดงานท่อระบายน้ำ ค.ส.ล. ต่อ เมตร เป็นเงิน</t>
  </si>
  <si>
    <t>คอนกรีต 210 ksc</t>
  </si>
  <si>
    <t>คอนกรีต 240 ksc</t>
  </si>
  <si>
    <t>คอนกรีต 280 ksc</t>
  </si>
  <si>
    <t>หมายเหตุ : รูปทรงกระบอก</t>
  </si>
  <si>
    <t>RB6 (SR 24)</t>
  </si>
  <si>
    <t>RB9 (SR 24)</t>
  </si>
  <si>
    <t>RB12 (SR 24)</t>
  </si>
  <si>
    <t>RB15 (SR 24)</t>
  </si>
  <si>
    <t>RB19 (SR 24)</t>
  </si>
  <si>
    <t>RB25 (SR 24)</t>
  </si>
  <si>
    <t>DB12 (SD 30)</t>
  </si>
  <si>
    <t>DB16 (SD 30)</t>
  </si>
  <si>
    <t>DB20 (SD 30)</t>
  </si>
  <si>
    <t>DB25 (SD 30)</t>
  </si>
  <si>
    <t>DB10 (SD 40)</t>
  </si>
  <si>
    <t>DB12 (SD 40)</t>
  </si>
  <si>
    <t>DB16 (SD 40)</t>
  </si>
  <si>
    <t>DB20 (SD 40)</t>
  </si>
  <si>
    <t>DB25 (SD 40)</t>
  </si>
  <si>
    <t>DB28 (SD 40)</t>
  </si>
  <si>
    <t>DB32 (SD 40)</t>
  </si>
  <si>
    <t>ทรายละเอียด</t>
  </si>
  <si>
    <t>ทรายถมที่</t>
  </si>
  <si>
    <t>ดินถมที่</t>
  </si>
  <si>
    <t>หินคลุก</t>
  </si>
  <si>
    <t>รวมราคา หมวดงานวิศวกรรมโครงสร้าง (ไม่รวมฐานราก) เป็นเงิน</t>
  </si>
  <si>
    <t>เหล็กเส้นกลมผิวเรียบ    SR.24 Ø 6 มม.</t>
  </si>
  <si>
    <t>เหล็กเส้นกลมผิวเรียบ    SR.24 Ø 9 มม.</t>
  </si>
  <si>
    <t>เหล็กเส้นกลมผิวข้ออ้อย SD.40 Ø 12 มม.</t>
  </si>
  <si>
    <t>เหล็กเส้นกลมผิวข้ออ้อย SD.40 Ø 16 มม.</t>
  </si>
  <si>
    <t>เหล็กเส้นกลมผิวข้ออ้อย SD.40 Ø 20 มม.</t>
  </si>
  <si>
    <t>เหล็กเส้นกลมผิวเรียบ    SR.24 Ø 12 มม.</t>
  </si>
  <si>
    <t>เหล็กเส้นกลมผิวข้ออ้อย SD.40 Ø 25 มม.</t>
  </si>
  <si>
    <t xml:space="preserve">ค่าแรงไม้แบบ </t>
  </si>
  <si>
    <t xml:space="preserve">ไม้ค้ำ </t>
  </si>
  <si>
    <t>ไม้คร่าว (คิด 30 % ของไม้แบบ)</t>
  </si>
  <si>
    <t>คอนกรีตโครงสร้าง 240 ksc.</t>
  </si>
  <si>
    <t>คอนกรีตทับหน้าพื้นสำเร็จรูป 240 ksc.</t>
  </si>
  <si>
    <t>งานโครงหลังคาและวัสดุมุงหลังคา</t>
  </si>
  <si>
    <t>งานฝ้าเพดาน</t>
  </si>
  <si>
    <t>งานผนังและตกแต่งผิวผนัง</t>
  </si>
  <si>
    <t>งานพื้นและตกแต่งผิวพื้น</t>
  </si>
  <si>
    <t>งานประตู พร้อมวงกบ อุปกรณ์ และติดตั้ง</t>
  </si>
  <si>
    <t>งานหน้าต่าง พร้อมวงกบ อุปกรณ์ และติดตั้ง</t>
  </si>
  <si>
    <t>งานสุขภัณฑ์พร้อมอุปกรณ์และติดตั้ง</t>
  </si>
  <si>
    <t>รวมราคา หมวดงานสถาปัตยกรรม เป็นเงิน</t>
  </si>
  <si>
    <t>รวมราคา งานโครงหลังคาและวัสดุมุงหลังคา เป็นเงิน</t>
  </si>
  <si>
    <t>รวมราคา งานฝ้าเพดาน เป็นเงิน</t>
  </si>
  <si>
    <t>รวมราคา งานผนังและตกแต่งผิวผนัง เป็นเงิน</t>
  </si>
  <si>
    <t>รวมราคา งานพื้นและตกแต่งผิวพื้น เป็นเงิน</t>
  </si>
  <si>
    <t>รวมราคา งานประตู พร้อมวงกบ อุปกรณ์และติดตั้ง เป็นเงิน</t>
  </si>
  <si>
    <t>รวมราคา งานหน้าต่าง พร้อมวงกบ อุปกรณ์และติดตั้ง เป็นเงิน</t>
  </si>
  <si>
    <t>รวมราคา งานสุขภัณฑ์พร้อมอุปกรณ์และติดตั้ง เป็นเงิน</t>
  </si>
  <si>
    <t>รวมราคา งานทาสีและงานเบ็ดเตล็ด เป็นเงิน</t>
  </si>
  <si>
    <t>งานทาสีและงานเบ็ดเตล็ด</t>
  </si>
  <si>
    <t>งานเดินท่อระบายน้ำเสีย</t>
  </si>
  <si>
    <t>โถส้วมชักโครก แบบนั่งราบ , โถส้วม แบบนั่งยองราดน้ำ</t>
  </si>
  <si>
    <t>อ่างล้างหน้า , อ่างล้างจาน</t>
  </si>
  <si>
    <t>FD</t>
  </si>
  <si>
    <t>ท่อระบายอากาศ</t>
  </si>
  <si>
    <t>งานเดินท่อน้ำดี</t>
  </si>
  <si>
    <t>โถส้วมชักโครกแบบนั่งราบ , โถปัสสาวะชาย</t>
  </si>
  <si>
    <t>ก๊อกน้ำ , ฝักบัว , สายฉีดชำระ</t>
  </si>
  <si>
    <t>รวมราคา หมวดงานประปาและสุขาภิบาล เป็นเงิน</t>
  </si>
  <si>
    <t>หมวดงานระบบไฟฟ้า</t>
  </si>
  <si>
    <t>ตู้ควบคุมประจำอาคาร MDB</t>
  </si>
  <si>
    <t xml:space="preserve">ตู้โหลดเซ็นเตอร์ประจำชั้น </t>
  </si>
  <si>
    <t>เหมา</t>
  </si>
  <si>
    <t>ไฟแสงสว่าง</t>
  </si>
  <si>
    <t>งานเดินสายไฟดวงโคม</t>
  </si>
  <si>
    <t>สวิทซ์ไฟฟ้า</t>
  </si>
  <si>
    <t>สวิทซ์ไฟฟ้าทางเดียว</t>
  </si>
  <si>
    <t>สวิทซ์ไฟฟ้าสองทาง</t>
  </si>
  <si>
    <t>งานเดินสายไฟสวิทซ์ไฟฟ้า</t>
  </si>
  <si>
    <t>เต้ารับไฟฟ้า</t>
  </si>
  <si>
    <t>เต้ารับแบบคู่มีสายดิน</t>
  </si>
  <si>
    <t>เต้ารับแบบเดี่ยวมีสายดิน</t>
  </si>
  <si>
    <t>งานเดินสายไฟเต้ารับไฟฟ้า</t>
  </si>
  <si>
    <t>เต้ารับทีวี</t>
  </si>
  <si>
    <t>งานเดินสายไฟเต้ารับทีวี</t>
  </si>
  <si>
    <t>เสาทีวีรวม</t>
  </si>
  <si>
    <t>ระบบป้องกันอัคคีภัย</t>
  </si>
  <si>
    <t>FCP</t>
  </si>
  <si>
    <t>BELL</t>
  </si>
  <si>
    <t>ระบบโทรศัพท์</t>
  </si>
  <si>
    <t>ตู้รวมคู่สาย</t>
  </si>
  <si>
    <t>เต้ารับโทรศัพท์</t>
  </si>
  <si>
    <t xml:space="preserve">ขุดดินและกลบดินฐานราก </t>
  </si>
  <si>
    <t>เสาเข็ม คอร. ขนาด 0.15 x 6.00 ม.</t>
  </si>
  <si>
    <t>คอนกรีตหยาบ 1:3:5</t>
  </si>
  <si>
    <t>เหล็กเสริมคอนกรีต</t>
  </si>
  <si>
    <t>เหล็กเส้นกลมผิวเรียบ    SR.24 Ø 15 มม.</t>
  </si>
  <si>
    <t>ไม้แบบทั่วไป (คิด 100% เต็ม)</t>
  </si>
  <si>
    <t>ตร.ม</t>
  </si>
  <si>
    <t>ไม้คร่าว (คิด 30% ของไม้แบบ)</t>
  </si>
  <si>
    <t>ไม้ค้ำยัน (คิด 100% ของจำนวนทั้งหมด)</t>
  </si>
  <si>
    <t>ลัง</t>
  </si>
  <si>
    <t>ผนังก่ออิฐมอญครึ่งแผ่น</t>
  </si>
  <si>
    <t>ผนังฉาบปูนเรียบ</t>
  </si>
  <si>
    <t>พื้น ค.ส.ล. ขัดมันผสมน้ำยากันซึม</t>
  </si>
  <si>
    <t>น้ำยากันซึม</t>
  </si>
  <si>
    <t>แกลลอน</t>
  </si>
  <si>
    <t>วัสดุ +แรง</t>
  </si>
  <si>
    <t>ประตูเหล็ก</t>
  </si>
  <si>
    <t>ฝาถังเหล็ก</t>
  </si>
  <si>
    <t>ทาสีน้ำมัน ทา 2 เที่ยว</t>
  </si>
  <si>
    <t>ทาสีน้ำอะคริลิก 100%</t>
  </si>
  <si>
    <t>WATER  STOP 8"</t>
  </si>
  <si>
    <t>กุญแจ</t>
  </si>
  <si>
    <t>น.1</t>
  </si>
  <si>
    <t>น.2</t>
  </si>
  <si>
    <t>รวมราคา หมวดงานถังพักน้ำบนดิน เป็นเงิน</t>
  </si>
  <si>
    <t>รวมราคา หมวดงานระบบไฟฟ้า เป็นเงิน</t>
  </si>
  <si>
    <t>สายฉีดชำระ พร้อมขอแขวน</t>
  </si>
  <si>
    <t>อ่างล้างหน้าชนิดแขวน สายฉีดชำระ พร้อมขอแขวน</t>
  </si>
  <si>
    <t>สะดืออ่าง + ท่อน้ำทิ้ง + สายน้ำดี</t>
  </si>
  <si>
    <t>ก๊อกน้ำอ่างล้างหน้า</t>
  </si>
  <si>
    <t>2.6.5</t>
  </si>
  <si>
    <t>ที่ใส่กระดาษชำระ</t>
  </si>
  <si>
    <t>ที่วางสบู่</t>
  </si>
  <si>
    <t>ก๊อกน้ำ</t>
  </si>
  <si>
    <t>ราวพาดผ้า</t>
  </si>
  <si>
    <t>กระจกเงา</t>
  </si>
  <si>
    <t>ตะขอแขวนผ้าชุบโครเมี่ยม</t>
  </si>
  <si>
    <t>FD Ø 2" ชนิดมีดักกลิ่น</t>
  </si>
  <si>
    <t>STOP VALVE Ø 1/2"</t>
  </si>
  <si>
    <t>ทาสีกันสนิมไม่รวมงานหลังคา</t>
  </si>
  <si>
    <t>ทาสี EPOXY</t>
  </si>
  <si>
    <t>ทาชแล็กลงน้ำมัน</t>
  </si>
  <si>
    <t>2.7.8</t>
  </si>
  <si>
    <t>2.7.9</t>
  </si>
  <si>
    <t>2.7.10</t>
  </si>
  <si>
    <t>ฝาเหล็กเปิด - ปิดหอถังน้ำ/ทางขึ้น</t>
  </si>
  <si>
    <t>2.7.11</t>
  </si>
  <si>
    <t>2.7.12</t>
  </si>
  <si>
    <t>ตะแกรงเหล็กปิดมาตรวัดน้ำ</t>
  </si>
  <si>
    <t>2.7.13</t>
  </si>
  <si>
    <t>ถังน้ำยาดับเพลิง ขนาด 15 ปอนด์</t>
  </si>
  <si>
    <t>ไม้แขวนผ้า 1/2" x 4" x 3.3 ม.</t>
  </si>
  <si>
    <t>ไม้แขวนผ้า 1/2" x 4" x 1.05 ม.</t>
  </si>
  <si>
    <t>2.8.4</t>
  </si>
  <si>
    <t>2.8.6</t>
  </si>
  <si>
    <t>2.8.7</t>
  </si>
  <si>
    <t>2.8.8</t>
  </si>
  <si>
    <t>2.8.9</t>
  </si>
  <si>
    <t>2.8.10</t>
  </si>
  <si>
    <t>2.8.11</t>
  </si>
  <si>
    <t>2.8.13</t>
  </si>
  <si>
    <t>2.8.14</t>
  </si>
  <si>
    <t>2.8.15</t>
  </si>
  <si>
    <t>ค่าแรงเชื่อมเหล็กโครงหลังคาพร้อมลวดเชื่อม</t>
  </si>
  <si>
    <t>ครอบสันโลหะชุบสังกะสีไม่เคลือบสี</t>
  </si>
  <si>
    <t>ทาสีกันสนิมเหล็กโครงหลังคา</t>
  </si>
  <si>
    <t>PLATE หัวเสา พร้อม BOLT</t>
  </si>
  <si>
    <t>งานขุดเจาะสำรวจดิน</t>
  </si>
  <si>
    <t>ขุดดินและกลบคืน (คิดเปิดทั้งอาคาร)</t>
  </si>
  <si>
    <t>ทรายหยาบชุ่มน้ำอัดแน่น</t>
  </si>
  <si>
    <t>ค่าสกัดหัวเสาเข็ม</t>
  </si>
  <si>
    <t>ไม้แบบทั่วไป (คิด 100%)</t>
  </si>
  <si>
    <t xml:space="preserve">ไม้เคร่า (30 % ของไม้แบบ) </t>
  </si>
  <si>
    <t>รวม ราคาหมวดงานฐานราก ชนิดตอกเสาเข็ม (รวมเสาตอม่อ) เป็นเงิน</t>
  </si>
  <si>
    <t>หมวดงานฐานราก ชนิดตอกเสาเข็ม (รวมเสาตอม่อ)</t>
  </si>
  <si>
    <t>หมวดงานระบบประปาและสุขาภิบาล</t>
  </si>
  <si>
    <t xml:space="preserve">หมวดงานไฟฟ้า </t>
  </si>
  <si>
    <t>หมวดงานถังน้ำบนดิน</t>
  </si>
  <si>
    <t>หมวดงานบริเวณ</t>
  </si>
  <si>
    <t>รวมราคาส่วนที่ 1 ค่าวัสดุและค่าแรงงานหมวดงานก่อสร้าง เป็นเงิน</t>
  </si>
  <si>
    <t>เสาเข็มแบบตอก สี่เหลี่ยมตัน ขนาด 0.30 x 0.30 ม. ยาว 12.00 ม.</t>
  </si>
  <si>
    <t>2.2.2</t>
  </si>
  <si>
    <t>ฝ้า ค.ส.ล. ฉาบเรียบรอยต่อเซาะร่อง ทาสี (พื้นสำเร็จรูป)</t>
  </si>
  <si>
    <t>(เบอร์ 24) (ห้องน้ำ)</t>
  </si>
  <si>
    <t>ฝ้ากระเบื้องซีเมนต์ เส้นใยขอบเรียบ หนา 6 มม. รุ่นระบายอากาศ</t>
  </si>
  <si>
    <t xml:space="preserve">กรุตาข่าย PVC ตีเว้นร่อง 5 มม. ทาสี โครงเคร่าเหล็กชุบกัลวาไนท์ C </t>
  </si>
  <si>
    <t>ขนาด 13 x 35 x 0.55 มม. (เบอร์ 24) (ชั้น 5 ภายนอก)</t>
  </si>
  <si>
    <t>ฝ้ากระเบื้องซีเมนต์ผสมใยไม้ หนา 1/2" รุ่นใส้โฟม กรุเว้นร่อง 2 มม.</t>
  </si>
  <si>
    <t>แต่งฉาบเรียบรอยต่อ และกรุแผ่นฉนวนกันความร้อน โครงเคร่าเหล็ก</t>
  </si>
  <si>
    <t>ชุบกัลวาไนท์ C ขนาด 13 x 35 x 0.55 มม. (เบอร์ 24) (ชั้น 5 ภายใน)</t>
  </si>
  <si>
    <t>ผนังก่ออิฐมวลเบา หนา 7.5 cm.</t>
  </si>
  <si>
    <t>ผนังบุกระเบื้องแกรนิตโต้ ขนาด 12" x 12" รวมยาแนว</t>
  </si>
  <si>
    <t>สูงเสมอหลังวงกบห้องน้ำ</t>
  </si>
  <si>
    <t>ผนังขัดมันผสมน้ำยากันซึม</t>
  </si>
  <si>
    <t>2.3.10</t>
  </si>
  <si>
    <t>ผนังกรุกระเบื้องเคลือบผิวมัน ขนาด 8" x 8" รวมปูนทราย</t>
  </si>
  <si>
    <t>ผนังก่ออิฐบล็อค ชนิดกันฝนและระบายอากาศ หนา 7 cm.</t>
  </si>
  <si>
    <t>2.3.9</t>
  </si>
  <si>
    <t>เสาเอ็น ค.ส.ล. ทับหลัง</t>
  </si>
  <si>
    <t>ผนังคอนกรีตเปลือยผิวไม้แบบ ไม้อัด หรือแผ่นเหล็กเรียบ</t>
  </si>
  <si>
    <t>ผนังเกล็ดอลูมิเนียม โครงเคร่าอลูมิเนียม หนา 2 มม.</t>
  </si>
  <si>
    <t>2.3.5</t>
  </si>
  <si>
    <t>2.3.6</t>
  </si>
  <si>
    <t>2.3.7</t>
  </si>
  <si>
    <t>2.3.8</t>
  </si>
  <si>
    <t xml:space="preserve">พื้นปูกระเบื้องยาง แบบแผ่น หนา 2 มม. ขนาด 12 x 12 นิ้ว </t>
  </si>
  <si>
    <t>บัวเชิงผนัง PVC สำเร็จรูป สูง 0.10 ม.</t>
  </si>
  <si>
    <t>พื้น ค.ส.ล. ขัดมัน ผสมสี ฝังเส้น PVC</t>
  </si>
  <si>
    <t>พื้นปูกระเบื้องแกรนิตโต้ ชนิดผิวด้าน ขนาด 12" x 12" รวมยาแนว</t>
  </si>
  <si>
    <t>พื้น ค.ส.ล. ขัดมัน ผสมน้ำยากันซึม</t>
  </si>
  <si>
    <t>พื้น ค.ส.ล. แต่งผิวเรียบ</t>
  </si>
  <si>
    <t>2.4.5</t>
  </si>
  <si>
    <t>2.4.6</t>
  </si>
  <si>
    <t>2.5.5</t>
  </si>
  <si>
    <t>ป.5</t>
  </si>
  <si>
    <t>น.5</t>
  </si>
  <si>
    <t>*5</t>
  </si>
  <si>
    <t>ฉาบปูนเรียบผนังก่ออิฐมวลเบา ทาสี</t>
  </si>
  <si>
    <t xml:space="preserve">กำแพงระเบียงกันตก ก่ออิฐมวลเบา หนา 7.5 cm. สูง 1 ม. </t>
  </si>
  <si>
    <t>ฉาบปูนเรียบ ทาสี พร้อมเสริมเสาเอ็น ค.ส.ล. ทับหลัง ทุกระยะ 1.60 ม.</t>
  </si>
  <si>
    <t>ราวบันไดเหล็กแป๊ปกลม Ø 2 1/2" และ1 1/2"</t>
  </si>
  <si>
    <t xml:space="preserve">ราวเหล็กแป๊ปกลม Ø 2 1/2" </t>
  </si>
  <si>
    <t>ประตูน้ำ Ø 2"</t>
  </si>
  <si>
    <t>ตัว</t>
  </si>
  <si>
    <t>ประตูน้ำ Ø 3"</t>
  </si>
  <si>
    <t>ประตูน้ำ Ø 4"</t>
  </si>
  <si>
    <t>ประตูน้ำ Ø 3/4" (แบบบอลวาล์ว)</t>
  </si>
  <si>
    <t>มาตรวัดน้ำ Ø 3/4"</t>
  </si>
  <si>
    <t>หัวท่อดับเพลิง 3"</t>
  </si>
  <si>
    <t>ตู้ควบคุมระบบน้ำตามรายการ</t>
  </si>
  <si>
    <t>ตู้</t>
  </si>
  <si>
    <t>ระบบควบคุมระดับน้ำพร้อมสาย</t>
  </si>
  <si>
    <t>LC-A (60AT-3P)</t>
  </si>
  <si>
    <t>LC สำรอง (60AT-3P)</t>
  </si>
  <si>
    <t>LC-1 , LC-2 , LC-3 , LC-4 , LC-5 (125AT-3P)</t>
  </si>
  <si>
    <t>ตู้โหลดเซ็นเตอร์ประจำห้องพัก RLC</t>
  </si>
  <si>
    <t>ดวงโคม หลอด LED ขนาด 1 x 9 w แบบกล่องเหล็กขั้วสปริงดัน</t>
  </si>
  <si>
    <t>ดวงโคม หลอด LED ขนาด 1 x 16 w แบบกล่องเหล็กขั้วสปริงดัน</t>
  </si>
  <si>
    <t>โคมไฟฉุกเฉิน หลอด LED ขนาด 2 X 3 w</t>
  </si>
  <si>
    <t>ป้ายทางออกฉุกเฉิน หลอด LED</t>
  </si>
  <si>
    <t>MANUAL STATION</t>
  </si>
  <si>
    <t>แผงรวมเครื่องวัดหน่วยมิเตอร์ไฟฟ้าประจำชั้น</t>
  </si>
  <si>
    <t>งานเดินสายไฟเต้ารับโทรศัพท์</t>
  </si>
  <si>
    <t>งานเดินสายเมนภายใน พร้อมอุปกรณ์</t>
  </si>
  <si>
    <t xml:space="preserve">RF ขนาด Ø 3 นิ้ว </t>
  </si>
  <si>
    <t>ส่วนที่ 2 หมวดงานครุภัณฑ์สั่งซื้อหรือจัดซื้อ</t>
  </si>
  <si>
    <t>รวมราคาส่วนที่ 2 หมวดงานครุภัณฑ์สั่งซื้อหรือจัดซื้อ เป็นเงิน</t>
  </si>
  <si>
    <t xml:space="preserve">ท่อรางน้ำฝนสแตนเลส ขนาด Ø 3 นิ้ว </t>
  </si>
  <si>
    <t>หมวดงานครุภัณฑ์สั่งซื้อหรือจัดซื้อ</t>
  </si>
  <si>
    <t xml:space="preserve">ฉนวนกันความร้อน ชนิดเส้นใยแก้ว สีเขียวใส่สารไม่อุ้มน้ำ (PU) </t>
  </si>
  <si>
    <t>หนา 25 มม.</t>
  </si>
  <si>
    <t>เหล็กตัวซี C 100 x 50 x 20 x 2.3 mm. x 6 m. (จันทัน)</t>
  </si>
  <si>
    <t>ท่อนละ(กก.)</t>
  </si>
  <si>
    <t>รวมหนัก</t>
  </si>
  <si>
    <t>เหล็กตัวซี C 75 x 45 x 15 x 2.3 mm. x 6 m. (แป)</t>
  </si>
  <si>
    <t>เหล็กตัวซี C 125 x 50 x 20 x 2.3 mm. x 6 m. (อกไก่)</t>
  </si>
  <si>
    <t>เหล็กตัวซี C 125 x 50 x 20 x 2.3 mm. x 6 m. (ดั้ง)</t>
  </si>
  <si>
    <t>2.1.8</t>
  </si>
  <si>
    <t>2.1.9</t>
  </si>
  <si>
    <t>แผ่นหลังคาเหล็กรีดลอน เคลือบอบสี หนาไม่น้อยกว่า 0.47 มม.</t>
  </si>
  <si>
    <t xml:space="preserve">ตู้อ่างล้างจาน UPVC ติดตั้ง SINK STAINLESS ขนาด 0.40 x 0.40 ม. </t>
  </si>
  <si>
    <t>พร้อมก็อกน้ำ และตู้ลอยสำหรับเก็บของ</t>
  </si>
  <si>
    <t>C2.1</t>
  </si>
  <si>
    <t>C1.1</t>
  </si>
  <si>
    <t xml:space="preserve">พื้นสำเร็จรูป </t>
  </si>
  <si>
    <t>บันไดสแตนเลสขึ้นพื้นใต้ถังน้ำ</t>
  </si>
  <si>
    <t>บันไดสแตนเลสขึ้นหอถังน้ำ</t>
  </si>
  <si>
    <t>ไม้แบบทั่วไป (คิด 50 %)</t>
  </si>
  <si>
    <t>ชั้น 1</t>
  </si>
  <si>
    <t xml:space="preserve">เครื่องสูบน้ำแบบหอยโข่งสูบส่งน้ำได้  30 ลบ.ม./ซม. </t>
  </si>
  <si>
    <t xml:space="preserve">สูบส่งไม่น้อยกว่า 30 ม. ความเร็วรอบ 2,900 รอบ/นาที </t>
  </si>
  <si>
    <t xml:space="preserve">ขับด้วยมอเตอร์ 3 เฟส 7.5 แรงม้า </t>
  </si>
  <si>
    <t>ถังบำบัดน้ำเสีย ไฟเบอร์กลาส ชนิดไม่มีระบบอัดอากาศ ขนาด 5 ลบ.ม.</t>
  </si>
  <si>
    <t>งานบริเวณ</t>
  </si>
  <si>
    <t>งานถนนทางเข้า</t>
  </si>
  <si>
    <t>ตารางแสดงการคำนวณหาค่า FACTOR F งานอาคาร</t>
  </si>
  <si>
    <t>ค่างาน(ทุน)</t>
  </si>
  <si>
    <t>FACTOR F</t>
  </si>
  <si>
    <t>ล้านบาท</t>
  </si>
  <si>
    <t>เงินล่วงหน้าจ่าย ( ร้อยละ )</t>
  </si>
  <si>
    <t>&lt;0.5</t>
  </si>
  <si>
    <t>ค่าประกันผลงาน หัก  (ร้อยละ)</t>
  </si>
  <si>
    <t>ดอกเบี้ยเงินกู้ (ร้อยละ)</t>
  </si>
  <si>
    <t>a =</t>
  </si>
  <si>
    <t>ค่าภาษีมูลค่าเพิ่ม ( VAT )  (ร้อยละ)</t>
  </si>
  <si>
    <t>b =</t>
  </si>
  <si>
    <t xml:space="preserve">d = </t>
  </si>
  <si>
    <t>สูตรคำนวณหาค่า FACTOR  F</t>
  </si>
  <si>
    <t xml:space="preserve">c = </t>
  </si>
  <si>
    <t xml:space="preserve">e = </t>
  </si>
  <si>
    <r>
      <t xml:space="preserve">สูตรการหาค่า Factor F = D - </t>
    </r>
    <r>
      <rPr>
        <b/>
        <sz val="16"/>
        <color indexed="8"/>
        <rFont val="Symbol"/>
        <family val="1"/>
        <charset val="2"/>
      </rPr>
      <t/>
    </r>
  </si>
  <si>
    <t>{</t>
  </si>
  <si>
    <r>
      <t>[</t>
    </r>
    <r>
      <rPr>
        <sz val="16"/>
        <color indexed="8"/>
        <rFont val="TH SarabunPSK"/>
        <family val="2"/>
      </rPr>
      <t>( D - E ) x ( A - B )</t>
    </r>
    <r>
      <rPr>
        <sz val="22"/>
        <color indexed="8"/>
        <rFont val="TH SarabunPSK"/>
        <family val="2"/>
      </rPr>
      <t>]</t>
    </r>
  </si>
  <si>
    <t>}</t>
  </si>
  <si>
    <t xml:space="preserve"> </t>
  </si>
  <si>
    <t>( C - B )</t>
  </si>
  <si>
    <t>เมื่อ</t>
  </si>
  <si>
    <t>A = ค่าวัสดุและแรงงานต้นทุน</t>
  </si>
  <si>
    <t xml:space="preserve"> =</t>
  </si>
  <si>
    <t>B = ค่างานตัวต่ำกว่าต้นทุน</t>
  </si>
  <si>
    <t>C = ค่างานตัวสูงกว่าต้นทุน</t>
  </si>
  <si>
    <t>D = Factor F ของค่างานตัวต่ำกว่าต้นทุน</t>
  </si>
  <si>
    <t>E = Factor F ของค่างานตัวสูงกว่าต้นทุน</t>
  </si>
  <si>
    <t>แทนค่า</t>
  </si>
  <si>
    <t xml:space="preserve"> -  (</t>
  </si>
  <si>
    <t xml:space="preserve"> -</t>
  </si>
  <si>
    <t>)   X   (</t>
  </si>
  <si>
    <t>)</t>
  </si>
  <si>
    <t>(</t>
  </si>
  <si>
    <t>สรุปค่าต้นทุนงาน</t>
  </si>
  <si>
    <t>บาท</t>
  </si>
  <si>
    <t>ค่า FACTOR F เท่ากับ</t>
  </si>
  <si>
    <t>&gt;500</t>
  </si>
  <si>
    <t xml:space="preserve">แบบ ปร.4   </t>
  </si>
  <si>
    <t>หมวดงานถนนทางเข้า</t>
  </si>
  <si>
    <t>แห่ง</t>
  </si>
  <si>
    <t>รวมหมวดงานบริเวณ เป็นเงิน</t>
  </si>
  <si>
    <t>หมวดงานครุภัณฑ์ทั่วไป</t>
  </si>
  <si>
    <t>รวมราคา หมวดงานครุภัณฑ์ทั่วไป เป็นเงิน</t>
  </si>
  <si>
    <t>หมายเหตุ : มิ.ย.68</t>
  </si>
  <si>
    <t>8.1 งานถางป่าและขุดตอ   (CLEARING AND GRUBBING)</t>
  </si>
  <si>
    <t xml:space="preserve">8.3 ถนน ค.ส.ล. </t>
  </si>
  <si>
    <t>8.4  งานวางท่อ คสล.1 dia 0.60x1.00 ม. จำนวน 10 ท่อน</t>
  </si>
  <si>
    <t>เตียงนอน ขนาด 5 ฟุต</t>
  </si>
  <si>
    <t>ตู้เสื้อผ้า ขนาด 1200x600x1800 มม.</t>
  </si>
  <si>
    <t>โต๊ะทานอาหาร 1 ตัว เก้าอี้ทานอาหาร 2 ตัว</t>
  </si>
  <si>
    <t>โซฟาแบบ 2 ที่นั่ง</t>
  </si>
  <si>
    <t>แอร์แบบติดผนัง ขนาด 9,000 บีทียู</t>
  </si>
  <si>
    <t xml:space="preserve">หมวดงานครุภัณฑ์ทั่วไป </t>
  </si>
  <si>
    <t>กลุ่มงานที่ 2</t>
  </si>
  <si>
    <t>รวมราคา กลุ่มงานที่ 2</t>
  </si>
  <si>
    <t>กลุ่มงานที่ 1 (ตัวอาคาร)</t>
  </si>
  <si>
    <t>รวมราคา กลุ่มงานที่ 1  (ตัวอาคาร)</t>
  </si>
  <si>
    <t>8.2 งานดินถมบดอัดแน่น</t>
  </si>
  <si>
    <t xml:space="preserve">6.1 ถมดิน ปรับบริเวณ (บดอัดแน่น 30%) </t>
  </si>
  <si>
    <t xml:space="preserve">6.2 ถนน ค.ส.ล. </t>
  </si>
  <si>
    <t>6.3 ขอบคันหินถนน ค.ส.ล.สำเร็จรูป</t>
  </si>
  <si>
    <t xml:space="preserve">6.4 ปูบล๊อคทางเท้า หนา  6  ซ.ม. </t>
  </si>
  <si>
    <t>6.5 มาตรวัดน้ำของ กปภ.  Ø  2"   ตามผังบริเวณ</t>
  </si>
  <si>
    <t xml:space="preserve">  -  ขยายเขตประปา หรือติดตั้งระบบน้ำบาดาล</t>
  </si>
  <si>
    <t>6.6 งานวางท่อ</t>
  </si>
  <si>
    <t xml:space="preserve"> - ท่อระบายน้ำ ค.ส.ล. ขนาด Ø 0.30 ม. (แบบไม่ตอกเข็ม)</t>
  </si>
  <si>
    <t xml:space="preserve"> - ท่อระบายน้ำ ค.ส.ล. ขนาด Ø 0.30 ม. (แบบตอกเข็ม)</t>
  </si>
  <si>
    <t>6.7 งานบ่อพัก</t>
  </si>
  <si>
    <t xml:space="preserve"> - บ่อพัก ค.ส.ล. สำหรับท่อ ขนาด Ø 0.30 ม. (แบบฝา ค.ส.ล.)</t>
  </si>
  <si>
    <t xml:space="preserve"> - บ่อพัก ค.ส.ล. สำหรับท่อ ขนาด Ø 0.30 ม. (แบบฝาตะแกรง)</t>
  </si>
  <si>
    <t>6.8 งานระบบไฟฟ้า</t>
  </si>
  <si>
    <t xml:space="preserve">  -  ดวงโคมแสงสว่างหลอดแสงจันทร์  125 w. เสาเหล็ก</t>
  </si>
  <si>
    <t xml:space="preserve">  -  ดวงโคมแสงสว่างหลอดแสงจันทร์  125 w. เสาคอนกรีต</t>
  </si>
  <si>
    <t xml:space="preserve">  -  หม้อแปลง 3  เฟส  250 KVA พร้อมมิเตอร์แรงสูง อุปกรณ์ครบชุด</t>
  </si>
  <si>
    <t xml:space="preserve">  -  ขยายเขตไฟฟ้า </t>
  </si>
  <si>
    <t>รวมค่าอุปกรณ์และ</t>
  </si>
  <si>
    <t>เดินสาย</t>
  </si>
  <si>
    <t>แผ่นที่ 20</t>
  </si>
  <si>
    <r>
      <t>ประมาณราคาตามแบบ</t>
    </r>
    <r>
      <rPr>
        <sz val="16"/>
        <rFont val="TH SarabunPSK"/>
        <family val="2"/>
      </rPr>
      <t xml:space="preserve">  ปร.4  จำนวน  21  แผ่น</t>
    </r>
  </si>
  <si>
    <t>บก.ตชก.ภาค 2 ถ.หลังศูนย์ราชการ ต.ในเมือง อ.เมือง จ.ขอนแก่น</t>
  </si>
  <si>
    <r>
      <t xml:space="preserve">กำหนดราคากลางเมื่อวันที่ </t>
    </r>
    <r>
      <rPr>
        <sz val="16"/>
        <rFont val="TH SarabunPSK"/>
        <family val="2"/>
      </rPr>
      <t xml:space="preserve">  </t>
    </r>
  </si>
  <si>
    <t>กำหนดราคากลางเมื่อ</t>
  </si>
  <si>
    <t xml:space="preserve">                               </t>
  </si>
  <si>
    <r>
      <t xml:space="preserve">สถานที่ก่อสร้าง       </t>
    </r>
    <r>
      <rPr>
        <sz val="16"/>
        <rFont val="TH SarabunPSK"/>
        <family val="2"/>
      </rPr>
      <t xml:space="preserve">บก.ตชด.ภาค 2 ถ.หลังศูนย์ราชการ ต.ในเมือง อ.เมือง จ.ขอนแก่น </t>
    </r>
  </si>
  <si>
    <r>
      <t xml:space="preserve">ฝ่ายประมาณราคา     </t>
    </r>
    <r>
      <rPr>
        <sz val="16"/>
        <rFont val="TH SarabunPSK"/>
        <family val="2"/>
      </rPr>
      <t xml:space="preserve"> </t>
    </r>
  </si>
  <si>
    <t>สถานที่ก่อสร้าง บก.ตชด.ภาค 2 ถ.หลังศูนย์ราชการ ต.ในเมือง อ.เมือง จ.ขอนแก่น</t>
  </si>
  <si>
    <r>
      <t>เจ้าของอาคาร</t>
    </r>
    <r>
      <rPr>
        <sz val="16"/>
        <rFont val="TH SarabunPSK"/>
        <family val="2"/>
      </rPr>
      <t xml:space="preserve">  บก.ตชด.ภาค 2</t>
    </r>
  </si>
  <si>
    <t>บก.ตชด.ภาค 2 ถ.หลังศูนย์ราชการ ต.ในเมือง อ.เมือง จ.ขอนแก่น</t>
  </si>
  <si>
    <t xml:space="preserve">บก.ตชด.ภาค 2 ถ.หลังศูนย์ราชการ ต.ในเมือง อ.เมือง จ.ขอนแก่น </t>
  </si>
  <si>
    <t>แบบ ปร.6</t>
  </si>
  <si>
    <t>งานก่อสร้างอาคาร</t>
  </si>
  <si>
    <r>
      <t xml:space="preserve">ส่วนราชการ </t>
    </r>
    <r>
      <rPr>
        <sz val="16"/>
        <rFont val="TH SarabunPSK"/>
        <family val="2"/>
      </rPr>
      <t xml:space="preserve"> กองบังคับการตำรวจตระเวนชายแดนภาค 2</t>
    </r>
  </si>
  <si>
    <r>
      <t xml:space="preserve">ส่วนราชการ </t>
    </r>
    <r>
      <rPr>
        <sz val="16"/>
        <rFont val="TH Sarabun New"/>
        <family val="2"/>
      </rPr>
      <t xml:space="preserve"> กองบังคับการตำรวจตระเวนชายแดนภาค 2</t>
    </r>
  </si>
  <si>
    <r>
      <t>ประมาณราคาเมื่อ</t>
    </r>
    <r>
      <rPr>
        <sz val="16"/>
        <rFont val="TH Sarabun New"/>
        <family val="2"/>
      </rPr>
      <t xml:space="preserve">  </t>
    </r>
  </si>
  <si>
    <r>
      <t>ประเภทงานก่อสร้า</t>
    </r>
    <r>
      <rPr>
        <sz val="16"/>
        <rFont val="TH Sarabun New"/>
        <family val="2"/>
      </rPr>
      <t>ง อาคารที่พักอาศัย (แฟลต) จำนวน 40 ครอบครัว สูง 5 ชั้น (ใต้ถุนโล่ง) จำนวน 1 หลัง พร้อมส่วนประกอบ</t>
    </r>
  </si>
  <si>
    <r>
      <t xml:space="preserve">แบบเลขที่  </t>
    </r>
    <r>
      <rPr>
        <sz val="16"/>
        <rFont val="TH Sarabun New"/>
        <family val="2"/>
      </rPr>
      <t xml:space="preserve">ตร.10817/60 </t>
    </r>
  </si>
  <si>
    <r>
      <t xml:space="preserve">แบบเลขที่  </t>
    </r>
    <r>
      <rPr>
        <sz val="16"/>
        <rFont val="TH SarabunPSK"/>
        <family val="2"/>
      </rPr>
      <t xml:space="preserve">ตร.10817/60 </t>
    </r>
  </si>
  <si>
    <r>
      <t>ประเภท</t>
    </r>
    <r>
      <rPr>
        <sz val="16"/>
        <rFont val="TH SarabunPSK"/>
        <family val="2"/>
      </rPr>
      <t xml:space="preserve">  งานก่อสร้าง อาคารที่พักอาศัย (แฟลต) จำนวน 40 ครอบครัว สูง 5 ชั้น (ใต้ถุนโล่ง)</t>
    </r>
  </si>
  <si>
    <t>ตร.10817/60</t>
  </si>
  <si>
    <t>อาคารที่พักอาศัย (แฟลต) จำนวน 40 ครอบครัว สูง 5 ชั้น (ใต้ถุนโล่ง)</t>
  </si>
  <si>
    <t>กลุ่มงานวิชาชีพและเชี่ยวชาญ กองโยธาธิการ สำนักงานส่งกำลังบำรุง สำนักงานตำรวจแห่งชาติ</t>
  </si>
  <si>
    <t>ฝ้า UPVC โครงเคร่าเหล็กชุบกัลวาไนท์ C ขนาด 13 x 35 x 0.55 มม.</t>
  </si>
  <si>
    <r>
      <t xml:space="preserve">ประมาณราคาค่าก่อสร้าง  </t>
    </r>
    <r>
      <rPr>
        <sz val="16"/>
        <rFont val="TH SarabunPSK"/>
        <family val="2"/>
      </rPr>
      <t xml:space="preserve">อาคารที่พักอาศัยขนาด 40 ครอบครัว สูง 5 ชั้น ใต้ถุนโล่ง (ฐานรากเสาเข็มตอก) </t>
    </r>
  </si>
  <si>
    <r>
      <t xml:space="preserve">แบบเลขที่  </t>
    </r>
    <r>
      <rPr>
        <sz val="16"/>
        <rFont val="TH SarabunPSK"/>
        <family val="2"/>
      </rPr>
      <t xml:space="preserve"> </t>
    </r>
  </si>
  <si>
    <r>
      <t>กำหนดราคากลางเมื่อ</t>
    </r>
    <r>
      <rPr>
        <sz val="16"/>
        <rFont val="TH SarabunPSK"/>
        <family val="2"/>
      </rPr>
      <t xml:space="preserve">   </t>
    </r>
  </si>
  <si>
    <t>สถานที่ก่อสร้าง บก.ตชก.ภาค 2 ถ.หลังศูนย์ราชการ ต.ในเมือง อ.เมือง จ.ขอนแก่น</t>
  </si>
  <si>
    <t>งานก่อสร้าง อาคารที่พักอาศัย (แฟลต) จำนวน 40 ครอบครัว สูง 5 ชั้น (ใต้ถุนโล่ง) จำนวน 1 หลัง พร้อมส่วนประกอบ</t>
  </si>
  <si>
    <t>หน่วยงาน บก.ตชก.ภาค 2</t>
  </si>
  <si>
    <r>
      <t xml:space="preserve">ฝ่ายประมาณราคา  </t>
    </r>
    <r>
      <rPr>
        <sz val="16"/>
        <rFont val="TH SarabunPSK"/>
        <family val="2"/>
      </rPr>
      <t>กลุ่มงานวิชาชีพและเชี่ยวชาญ กองโยธาธิการ สำนักงานส่งกำลังบำรุง สำนักงานตำรวจแห่งชาติ</t>
    </r>
  </si>
  <si>
    <t xml:space="preserve">ประมาณราคา  </t>
  </si>
  <si>
    <t xml:space="preserve">แบบเลขที่  </t>
  </si>
  <si>
    <t>แบบ ปร.4 (ก) แผ่นที่ 1</t>
  </si>
  <si>
    <t>แบบ ปร.4 (ก) แผ่นที่ 2</t>
  </si>
  <si>
    <t xml:space="preserve">ประมาณราคา </t>
  </si>
  <si>
    <t>แบบ ปร.4 (ก) แผ่นที่ 3</t>
  </si>
  <si>
    <t>แบบ ปร.4 (ก)  แผ่นที่ 4</t>
  </si>
  <si>
    <t>แบบ ปร.4 (ก) แผ่นที่ 5</t>
  </si>
  <si>
    <r>
      <t>หน่วยงานออกแบบแปลนและรายการ</t>
    </r>
    <r>
      <rPr>
        <sz val="16"/>
        <rFont val="TH SarabunPSK"/>
        <family val="2"/>
      </rPr>
      <t xml:space="preserve">  </t>
    </r>
    <r>
      <rPr>
        <sz val="14"/>
        <rFont val="TH SarabunPSK"/>
        <family val="2"/>
      </rPr>
      <t>กลุ่มงานวิชาชีพและเชี่ยวชาญ กองโยธาธิการ สำนักงานส่งกำลังบำรุง สำนักงานตำรวจแห่งชาติ</t>
    </r>
  </si>
  <si>
    <r>
      <t>หน่วยงานออกแบบแปลนและรายการ</t>
    </r>
    <r>
      <rPr>
        <sz val="16"/>
        <rFont val="TH Sarabun New"/>
        <family val="2"/>
      </rPr>
      <t xml:space="preserve">  </t>
    </r>
    <r>
      <rPr>
        <sz val="14"/>
        <rFont val="TH Sarabun New"/>
        <family val="2"/>
      </rPr>
      <t>กลุ่มงานวิชาชีพและเชี่ยวชาญ กองโยธาธิการ สำนักงานส่งกำลังบำรุง สำนักงานตำรวจแห่งชาติ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</si>
</sst>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87" formatCode="_-* #,##0.00_-;\-* #,##0.00_-;_-* &quot;-&quot;??_-;_-@_-"/>
    <numFmt numFmtId="188" formatCode="_-* #,##0.00_-;\-* #,##0.00_-;_-* \-??_-;_-@_-"/>
    <numFmt numFmtId="189" formatCode="0.0000"/>
    <numFmt numFmtId="190" formatCode="_-* #,##0_-;\-* #,##0_-;_-* \-??_-;_-@_-"/>
    <numFmt numFmtId="191" formatCode="0."/>
    <numFmt numFmtId="192" formatCode="_-* #,##0_-;\-* #,##0_-;_-* &quot;-&quot;??_-;_-@_-"/>
    <numFmt numFmtId="193" formatCode="_-* #,##0.0000_-;\-* #,##0.0000_-;_-* &quot;-&quot;??_-;_-@_-"/>
    <numFmt numFmtId="194" formatCode="_-* #,##0.000_-;\-* #,##0.000_-;_-* &quot;-&quot;??_-;_-@_-"/>
    <numFmt numFmtId="195" formatCode="_-* #,##0.0_-;\-* #,##0.0_-;_-* &quot;-&quot;?_-;_-@_-"/>
    <numFmt numFmtId="196" formatCode="_-* #,##0.00000000000_-;\-* #,##0.00000000000_-;_-* &quot;-&quot;??_-;_-@_-"/>
    <numFmt numFmtId="197" formatCode="_-* #,##0.00000000_-;\-* #,##0.00000000_-;_-* &quot;-&quot;??_-;_-@_-"/>
    <numFmt numFmtId="198" formatCode="0.000000"/>
  </numFmts>
  <fonts count="41" x14ac:knownFonts="1">
    <font>
      <sz val="10"/>
      <name val="Arial"/>
      <family val="2"/>
      <charset val="222"/>
    </font>
    <font>
      <sz val="10"/>
      <name val="Arial"/>
      <family val="2"/>
    </font>
    <font>
      <sz val="10"/>
      <name val="Arial"/>
      <family val="2"/>
      <charset val="222"/>
    </font>
    <font>
      <sz val="14"/>
      <name val="CordiaUPC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b/>
      <sz val="14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AngsanaUPC"/>
      <family val="1"/>
    </font>
    <font>
      <b/>
      <sz val="14"/>
      <color rgb="FFFF0000"/>
      <name val="AngsanaUPC"/>
      <family val="1"/>
    </font>
    <font>
      <sz val="14"/>
      <color rgb="FFFF0000"/>
      <name val="TH SarabunPSK"/>
      <family val="2"/>
    </font>
    <font>
      <sz val="11"/>
      <color indexed="8"/>
      <name val="Tahoma"/>
      <family val="2"/>
      <charset val="222"/>
    </font>
    <font>
      <b/>
      <sz val="18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6"/>
      <color indexed="10"/>
      <name val="TH SarabunPSK"/>
      <family val="2"/>
    </font>
    <font>
      <sz val="11"/>
      <color indexed="63"/>
      <name val="Arial"/>
      <family val="2"/>
    </font>
    <font>
      <b/>
      <sz val="16"/>
      <color indexed="63"/>
      <name val="TH SarabunPSK"/>
      <family val="2"/>
    </font>
    <font>
      <b/>
      <sz val="16"/>
      <color indexed="8"/>
      <name val="Symbol"/>
      <family val="1"/>
      <charset val="2"/>
    </font>
    <font>
      <sz val="36"/>
      <color indexed="8"/>
      <name val="Symbol"/>
      <family val="1"/>
      <charset val="2"/>
    </font>
    <font>
      <sz val="22"/>
      <color indexed="8"/>
      <name val="TH SarabunPSK"/>
      <family val="2"/>
    </font>
    <font>
      <sz val="36"/>
      <color indexed="8"/>
      <name val="TH SarabunPSK"/>
      <family val="2"/>
    </font>
    <font>
      <sz val="14"/>
      <color indexed="8"/>
      <name val="TH SarabunPSK"/>
      <family val="2"/>
    </font>
    <font>
      <b/>
      <sz val="16"/>
      <color indexed="14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10"/>
      <name val="Arial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22"/>
      <name val="TH Sarabun New"/>
      <family val="2"/>
    </font>
    <font>
      <sz val="22"/>
      <name val="TH Sarabun New"/>
      <family val="2"/>
    </font>
    <font>
      <sz val="16"/>
      <color rgb="FFFF0000"/>
      <name val="TH Sarabun New"/>
      <family val="2"/>
    </font>
    <font>
      <sz val="1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</borders>
  <cellStyleXfs count="13">
    <xf numFmtId="0" fontId="0" fillId="0" borderId="0"/>
    <xf numFmtId="0" fontId="3" fillId="0" borderId="0"/>
    <xf numFmtId="188" fontId="2" fillId="0" borderId="0" applyFill="0" applyBorder="0" applyAlignment="0" applyProtection="0"/>
    <xf numFmtId="187" fontId="1" fillId="0" borderId="0" applyFont="0" applyFill="0" applyBorder="0" applyAlignment="0" applyProtection="0"/>
    <xf numFmtId="0" fontId="2" fillId="0" borderId="0" applyFill="0" applyBorder="0" applyAlignment="0" applyProtection="0"/>
    <xf numFmtId="0" fontId="7" fillId="0" borderId="0"/>
    <xf numFmtId="188" fontId="2" fillId="0" borderId="0" applyFill="0" applyBorder="0" applyAlignment="0" applyProtection="0"/>
    <xf numFmtId="0" fontId="1" fillId="0" borderId="0"/>
    <xf numFmtId="0" fontId="16" fillId="0" borderId="0"/>
    <xf numFmtId="187" fontId="1" fillId="0" borderId="0" applyFont="0" applyFill="0" applyBorder="0" applyAlignment="0" applyProtection="0"/>
    <xf numFmtId="0" fontId="1" fillId="0" borderId="0"/>
    <xf numFmtId="0" fontId="33" fillId="0" borderId="0"/>
    <xf numFmtId="187" fontId="33" fillId="0" borderId="0" applyFont="0" applyFill="0" applyBorder="0" applyAlignment="0" applyProtection="0"/>
  </cellStyleXfs>
  <cellXfs count="704">
    <xf numFmtId="0" fontId="0" fillId="0" borderId="0" xfId="0"/>
    <xf numFmtId="188" fontId="4" fillId="0" borderId="1" xfId="2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8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/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8" fontId="4" fillId="0" borderId="2" xfId="2" applyFont="1" applyFill="1" applyBorder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88" fontId="4" fillId="0" borderId="11" xfId="2" applyFont="1" applyFill="1" applyBorder="1" applyAlignment="1" applyProtection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0" fontId="5" fillId="0" borderId="14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88" fontId="5" fillId="0" borderId="0" xfId="2" applyFont="1" applyFill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88" fontId="4" fillId="0" borderId="3" xfId="2" applyFont="1" applyFill="1" applyBorder="1" applyAlignment="1" applyProtection="1">
      <alignment horizontal="center" vertical="center"/>
    </xf>
    <xf numFmtId="188" fontId="4" fillId="0" borderId="19" xfId="2" applyFont="1" applyFill="1" applyBorder="1" applyAlignment="1" applyProtection="1">
      <alignment horizontal="center" vertical="center"/>
    </xf>
    <xf numFmtId="188" fontId="4" fillId="0" borderId="4" xfId="2" applyFont="1" applyFill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88" fontId="5" fillId="0" borderId="11" xfId="2" applyFont="1" applyFill="1" applyBorder="1" applyAlignment="1" applyProtection="1">
      <alignment vertical="center"/>
    </xf>
    <xf numFmtId="188" fontId="5" fillId="0" borderId="21" xfId="2" applyFont="1" applyFill="1" applyBorder="1" applyAlignment="1" applyProtection="1">
      <alignment vertical="center"/>
    </xf>
    <xf numFmtId="190" fontId="5" fillId="0" borderId="21" xfId="2" applyNumberFormat="1" applyFont="1" applyFill="1" applyBorder="1" applyAlignment="1" applyProtection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188" fontId="5" fillId="0" borderId="8" xfId="2" applyFont="1" applyFill="1" applyBorder="1" applyAlignment="1" applyProtection="1">
      <alignment vertical="center"/>
    </xf>
    <xf numFmtId="190" fontId="5" fillId="0" borderId="21" xfId="2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left" vertical="center"/>
    </xf>
    <xf numFmtId="190" fontId="5" fillId="0" borderId="8" xfId="2" applyNumberFormat="1" applyFont="1" applyFill="1" applyBorder="1" applyAlignment="1" applyProtection="1">
      <alignment horizontal="center" vertical="center"/>
    </xf>
    <xf numFmtId="0" fontId="5" fillId="0" borderId="13" xfId="0" applyFont="1" applyBorder="1"/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188" fontId="5" fillId="0" borderId="14" xfId="2" applyFont="1" applyFill="1" applyBorder="1" applyAlignment="1" applyProtection="1">
      <alignment vertical="center"/>
    </xf>
    <xf numFmtId="190" fontId="5" fillId="0" borderId="14" xfId="2" applyNumberFormat="1" applyFont="1" applyFill="1" applyBorder="1" applyAlignment="1" applyProtection="1">
      <alignment horizontal="center" vertical="center"/>
    </xf>
    <xf numFmtId="49" fontId="5" fillId="0" borderId="14" xfId="2" applyNumberFormat="1" applyFont="1" applyFill="1" applyBorder="1" applyAlignment="1" applyProtection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0" xfId="0" applyFont="1" applyBorder="1"/>
    <xf numFmtId="0" fontId="5" fillId="0" borderId="1" xfId="0" applyFont="1" applyBorder="1" applyAlignment="1">
      <alignment horizontal="center" vertical="center"/>
    </xf>
    <xf numFmtId="188" fontId="4" fillId="0" borderId="1" xfId="2" applyFont="1" applyFill="1" applyBorder="1" applyAlignment="1" applyProtection="1">
      <alignment vertical="center"/>
    </xf>
    <xf numFmtId="190" fontId="5" fillId="0" borderId="22" xfId="2" applyNumberFormat="1" applyFont="1" applyFill="1" applyBorder="1" applyAlignment="1" applyProtection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88" fontId="5" fillId="0" borderId="23" xfId="2" applyFont="1" applyFill="1" applyBorder="1" applyAlignment="1" applyProtection="1">
      <alignment vertical="center"/>
    </xf>
    <xf numFmtId="188" fontId="5" fillId="0" borderId="24" xfId="2" applyFont="1" applyFill="1" applyBorder="1" applyAlignment="1" applyProtection="1">
      <alignment vertical="center"/>
    </xf>
    <xf numFmtId="190" fontId="5" fillId="0" borderId="24" xfId="2" applyNumberFormat="1" applyFont="1" applyFill="1" applyBorder="1" applyAlignment="1" applyProtection="1">
      <alignment horizontal="center" vertical="center"/>
    </xf>
    <xf numFmtId="188" fontId="5" fillId="0" borderId="11" xfId="2" applyFont="1" applyBorder="1" applyAlignment="1">
      <alignment horizontal="center" vertical="center"/>
    </xf>
    <xf numFmtId="190" fontId="5" fillId="0" borderId="11" xfId="2" applyNumberFormat="1" applyFont="1" applyBorder="1" applyAlignment="1">
      <alignment horizontal="center" vertical="center"/>
    </xf>
    <xf numFmtId="190" fontId="5" fillId="0" borderId="14" xfId="2" applyNumberFormat="1" applyFont="1" applyFill="1" applyBorder="1" applyAlignment="1" applyProtection="1">
      <alignment horizontal="center"/>
    </xf>
    <xf numFmtId="188" fontId="5" fillId="0" borderId="11" xfId="2" applyFont="1" applyFill="1" applyBorder="1" applyAlignment="1">
      <alignment horizontal="center" vertical="center"/>
    </xf>
    <xf numFmtId="190" fontId="5" fillId="0" borderId="11" xfId="2" applyNumberFormat="1" applyFont="1" applyFill="1" applyBorder="1" applyAlignment="1">
      <alignment horizontal="center" vertical="center"/>
    </xf>
    <xf numFmtId="188" fontId="5" fillId="0" borderId="11" xfId="2" applyFont="1" applyBorder="1" applyAlignment="1">
      <alignment horizontal="right" vertical="center"/>
    </xf>
    <xf numFmtId="190" fontId="5" fillId="0" borderId="11" xfId="2" applyNumberFormat="1" applyFont="1" applyBorder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190" fontId="4" fillId="0" borderId="22" xfId="2" applyNumberFormat="1" applyFont="1" applyFill="1" applyBorder="1" applyAlignment="1" applyProtection="1">
      <alignment vertical="center"/>
    </xf>
    <xf numFmtId="190" fontId="5" fillId="0" borderId="25" xfId="2" applyNumberFormat="1" applyFont="1" applyFill="1" applyBorder="1" applyAlignment="1" applyProtection="1">
      <alignment horizontal="center" vertical="center"/>
    </xf>
    <xf numFmtId="0" fontId="7" fillId="2" borderId="0" xfId="5" applyFill="1"/>
    <xf numFmtId="0" fontId="7" fillId="0" borderId="0" xfId="5"/>
    <xf numFmtId="2" fontId="7" fillId="0" borderId="0" xfId="5" applyNumberFormat="1"/>
    <xf numFmtId="0" fontId="13" fillId="0" borderId="0" xfId="5" applyFont="1"/>
    <xf numFmtId="0" fontId="8" fillId="3" borderId="0" xfId="5" applyFont="1" applyFill="1"/>
    <xf numFmtId="1" fontId="8" fillId="3" borderId="0" xfId="5" applyNumberFormat="1" applyFont="1" applyFill="1"/>
    <xf numFmtId="0" fontId="7" fillId="4" borderId="0" xfId="5" applyFill="1"/>
    <xf numFmtId="2" fontId="7" fillId="4" borderId="0" xfId="5" applyNumberFormat="1" applyFill="1"/>
    <xf numFmtId="0" fontId="4" fillId="0" borderId="2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26" xfId="0" applyFont="1" applyBorder="1" applyAlignment="1">
      <alignment vertical="center"/>
    </xf>
    <xf numFmtId="2" fontId="13" fillId="0" borderId="0" xfId="5" applyNumberFormat="1" applyFont="1"/>
    <xf numFmtId="0" fontId="13" fillId="5" borderId="0" xfId="5" applyFont="1" applyFill="1"/>
    <xf numFmtId="0" fontId="7" fillId="5" borderId="0" xfId="5" applyFill="1"/>
    <xf numFmtId="0" fontId="8" fillId="5" borderId="0" xfId="5" applyFont="1" applyFill="1"/>
    <xf numFmtId="0" fontId="13" fillId="0" borderId="27" xfId="5" applyFont="1" applyBorder="1"/>
    <xf numFmtId="0" fontId="13" fillId="0" borderId="28" xfId="5" applyFont="1" applyBorder="1"/>
    <xf numFmtId="0" fontId="13" fillId="5" borderId="28" xfId="5" applyFont="1" applyFill="1" applyBorder="1"/>
    <xf numFmtId="0" fontId="13" fillId="0" borderId="29" xfId="5" applyFont="1" applyBorder="1"/>
    <xf numFmtId="0" fontId="13" fillId="0" borderId="30" xfId="5" applyFont="1" applyBorder="1"/>
    <xf numFmtId="0" fontId="13" fillId="0" borderId="31" xfId="5" applyFont="1" applyBorder="1"/>
    <xf numFmtId="0" fontId="13" fillId="5" borderId="32" xfId="5" applyFont="1" applyFill="1" applyBorder="1"/>
    <xf numFmtId="0" fontId="13" fillId="5" borderId="33" xfId="5" applyFont="1" applyFill="1" applyBorder="1"/>
    <xf numFmtId="0" fontId="13" fillId="5" borderId="34" xfId="5" applyFont="1" applyFill="1" applyBorder="1"/>
    <xf numFmtId="0" fontId="14" fillId="0" borderId="0" xfId="5" applyFont="1"/>
    <xf numFmtId="2" fontId="14" fillId="0" borderId="0" xfId="5" applyNumberFormat="1" applyFont="1"/>
    <xf numFmtId="0" fontId="14" fillId="5" borderId="0" xfId="5" applyFont="1" applyFill="1"/>
    <xf numFmtId="1" fontId="14" fillId="0" borderId="0" xfId="5" applyNumberFormat="1" applyFont="1"/>
    <xf numFmtId="0" fontId="4" fillId="0" borderId="0" xfId="0" applyFont="1" applyAlignment="1">
      <alignment horizontal="center" vertical="center"/>
    </xf>
    <xf numFmtId="15" fontId="5" fillId="0" borderId="0" xfId="0" applyNumberFormat="1" applyFont="1" applyAlignment="1">
      <alignment vertical="center"/>
    </xf>
    <xf numFmtId="15" fontId="5" fillId="0" borderId="0" xfId="0" applyNumberFormat="1" applyFont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87" fontId="4" fillId="0" borderId="36" xfId="3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187" fontId="5" fillId="0" borderId="44" xfId="3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193" fontId="4" fillId="0" borderId="0" xfId="0" applyNumberFormat="1" applyFont="1" applyAlignment="1">
      <alignment vertical="center"/>
    </xf>
    <xf numFmtId="187" fontId="4" fillId="0" borderId="36" xfId="3" applyFont="1" applyFill="1" applyBorder="1" applyAlignment="1">
      <alignment vertical="center"/>
    </xf>
    <xf numFmtId="192" fontId="4" fillId="0" borderId="29" xfId="3" applyNumberFormat="1" applyFont="1" applyFill="1" applyBorder="1" applyAlignment="1">
      <alignment vertical="center"/>
    </xf>
    <xf numFmtId="192" fontId="5" fillId="0" borderId="44" xfId="3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87" fontId="4" fillId="0" borderId="38" xfId="3" applyFont="1" applyFill="1" applyBorder="1" applyAlignment="1">
      <alignment vertical="center"/>
    </xf>
    <xf numFmtId="192" fontId="5" fillId="0" borderId="25" xfId="3" applyNumberFormat="1" applyFont="1" applyFill="1" applyBorder="1" applyAlignment="1">
      <alignment vertical="center"/>
    </xf>
    <xf numFmtId="193" fontId="5" fillId="0" borderId="0" xfId="0" applyNumberFormat="1" applyFont="1" applyAlignment="1">
      <alignment vertical="center"/>
    </xf>
    <xf numFmtId="187" fontId="5" fillId="0" borderId="0" xfId="3" applyFont="1" applyFill="1" applyAlignment="1">
      <alignment vertical="center"/>
    </xf>
    <xf numFmtId="192" fontId="4" fillId="0" borderId="36" xfId="3" applyNumberFormat="1" applyFont="1" applyFill="1" applyBorder="1" applyAlignment="1">
      <alignment vertical="center"/>
    </xf>
    <xf numFmtId="187" fontId="4" fillId="0" borderId="29" xfId="3" applyFont="1" applyFill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187" fontId="5" fillId="0" borderId="49" xfId="3" applyFont="1" applyFill="1" applyBorder="1" applyAlignment="1">
      <alignment vertical="center"/>
    </xf>
    <xf numFmtId="192" fontId="5" fillId="0" borderId="50" xfId="3" applyNumberFormat="1" applyFont="1" applyFill="1" applyBorder="1" applyAlignment="1">
      <alignment horizontal="center" vertical="center"/>
    </xf>
    <xf numFmtId="187" fontId="5" fillId="0" borderId="48" xfId="3" applyFont="1" applyFill="1" applyBorder="1" applyAlignment="1">
      <alignment vertical="center"/>
    </xf>
    <xf numFmtId="187" fontId="5" fillId="0" borderId="37" xfId="3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187" fontId="5" fillId="0" borderId="48" xfId="3" applyFont="1" applyFill="1" applyBorder="1" applyAlignment="1">
      <alignment horizontal="center" vertical="center"/>
    </xf>
    <xf numFmtId="192" fontId="5" fillId="0" borderId="48" xfId="3" applyNumberFormat="1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87" fontId="5" fillId="0" borderId="51" xfId="3" applyFont="1" applyFill="1" applyBorder="1" applyAlignment="1">
      <alignment vertical="center"/>
    </xf>
    <xf numFmtId="0" fontId="5" fillId="0" borderId="48" xfId="0" applyFont="1" applyBorder="1" applyAlignment="1">
      <alignment horizontal="right" vertical="center"/>
    </xf>
    <xf numFmtId="187" fontId="4" fillId="0" borderId="27" xfId="3" applyFont="1" applyFill="1" applyBorder="1" applyAlignment="1">
      <alignment vertical="center"/>
    </xf>
    <xf numFmtId="187" fontId="4" fillId="0" borderId="33" xfId="3" applyFont="1" applyFill="1" applyBorder="1" applyAlignment="1">
      <alignment vertical="center"/>
    </xf>
    <xf numFmtId="192" fontId="4" fillId="0" borderId="37" xfId="3" applyNumberFormat="1" applyFont="1" applyFill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0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87" fontId="4" fillId="0" borderId="39" xfId="4" applyNumberFormat="1" applyFont="1" applyFill="1" applyBorder="1" applyAlignment="1">
      <alignment vertical="center"/>
    </xf>
    <xf numFmtId="192" fontId="4" fillId="0" borderId="54" xfId="4" applyNumberFormat="1" applyFont="1" applyFill="1" applyBorder="1" applyAlignment="1">
      <alignment vertical="center"/>
    </xf>
    <xf numFmtId="187" fontId="4" fillId="0" borderId="30" xfId="4" applyNumberFormat="1" applyFont="1" applyFill="1" applyBorder="1" applyAlignment="1">
      <alignment vertical="center"/>
    </xf>
    <xf numFmtId="19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53" xfId="4" applyNumberFormat="1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87" fontId="5" fillId="0" borderId="43" xfId="4" applyNumberFormat="1" applyFont="1" applyFill="1" applyBorder="1" applyAlignment="1">
      <alignment vertical="center"/>
    </xf>
    <xf numFmtId="187" fontId="5" fillId="0" borderId="46" xfId="4" applyNumberFormat="1" applyFont="1" applyFill="1" applyBorder="1" applyAlignment="1">
      <alignment vertical="center"/>
    </xf>
    <xf numFmtId="192" fontId="5" fillId="0" borderId="46" xfId="4" applyNumberFormat="1" applyFont="1" applyFill="1" applyBorder="1" applyAlignment="1">
      <alignment vertical="center"/>
    </xf>
    <xf numFmtId="192" fontId="5" fillId="0" borderId="30" xfId="4" applyNumberFormat="1" applyFont="1" applyFill="1" applyBorder="1" applyAlignment="1">
      <alignment vertical="center"/>
    </xf>
    <xf numFmtId="192" fontId="5" fillId="0" borderId="0" xfId="0" applyNumberFormat="1" applyFont="1" applyAlignment="1">
      <alignment vertical="center"/>
    </xf>
    <xf numFmtId="187" fontId="5" fillId="0" borderId="30" xfId="4" applyNumberFormat="1" applyFont="1" applyFill="1" applyBorder="1" applyAlignment="1">
      <alignment vertical="center"/>
    </xf>
    <xf numFmtId="2" fontId="5" fillId="0" borderId="40" xfId="4" applyNumberFormat="1" applyFont="1" applyFill="1" applyBorder="1" applyAlignment="1">
      <alignment vertical="center"/>
    </xf>
    <xf numFmtId="192" fontId="5" fillId="0" borderId="43" xfId="4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/>
    </xf>
    <xf numFmtId="187" fontId="4" fillId="0" borderId="43" xfId="4" applyNumberFormat="1" applyFont="1" applyFill="1" applyBorder="1" applyAlignment="1">
      <alignment vertical="center"/>
    </xf>
    <xf numFmtId="192" fontId="4" fillId="0" borderId="46" xfId="4" applyNumberFormat="1" applyFont="1" applyFill="1" applyBorder="1" applyAlignment="1">
      <alignment vertical="center"/>
    </xf>
    <xf numFmtId="194" fontId="4" fillId="0" borderId="0" xfId="0" applyNumberFormat="1" applyFont="1" applyAlignment="1">
      <alignment vertical="center"/>
    </xf>
    <xf numFmtId="187" fontId="5" fillId="0" borderId="39" xfId="4" applyNumberFormat="1" applyFont="1" applyFill="1" applyBorder="1" applyAlignment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187" fontId="5" fillId="0" borderId="40" xfId="4" applyNumberFormat="1" applyFont="1" applyFill="1" applyBorder="1" applyAlignment="1">
      <alignment vertical="center"/>
    </xf>
    <xf numFmtId="187" fontId="5" fillId="0" borderId="44" xfId="4" applyNumberFormat="1" applyFont="1" applyFill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192" fontId="5" fillId="0" borderId="44" xfId="4" applyNumberFormat="1" applyFont="1" applyFill="1" applyBorder="1" applyAlignment="1">
      <alignment vertical="center"/>
    </xf>
    <xf numFmtId="187" fontId="5" fillId="0" borderId="0" xfId="4" applyNumberFormat="1" applyFont="1" applyFill="1" applyBorder="1" applyAlignment="1">
      <alignment vertical="center"/>
    </xf>
    <xf numFmtId="189" fontId="5" fillId="0" borderId="0" xfId="0" applyNumberFormat="1" applyFont="1" applyAlignment="1">
      <alignment vertical="center"/>
    </xf>
    <xf numFmtId="2" fontId="5" fillId="0" borderId="43" xfId="4" applyNumberFormat="1" applyFont="1" applyFill="1" applyBorder="1" applyAlignment="1">
      <alignment vertical="center"/>
    </xf>
    <xf numFmtId="187" fontId="5" fillId="0" borderId="31" xfId="4" applyNumberFormat="1" applyFont="1" applyFill="1" applyBorder="1" applyAlignment="1">
      <alignment vertical="center"/>
    </xf>
    <xf numFmtId="192" fontId="5" fillId="0" borderId="0" xfId="4" applyNumberFormat="1" applyFont="1" applyFill="1" applyBorder="1" applyAlignment="1">
      <alignment vertical="center"/>
    </xf>
    <xf numFmtId="187" fontId="5" fillId="0" borderId="58" xfId="4" applyNumberFormat="1" applyFont="1" applyFill="1" applyBorder="1" applyAlignment="1">
      <alignment vertical="center"/>
    </xf>
    <xf numFmtId="187" fontId="5" fillId="0" borderId="53" xfId="4" applyNumberFormat="1" applyFont="1" applyFill="1" applyBorder="1" applyAlignment="1">
      <alignment vertical="center"/>
    </xf>
    <xf numFmtId="189" fontId="5" fillId="0" borderId="0" xfId="4" applyNumberFormat="1" applyFont="1" applyFill="1" applyBorder="1" applyAlignment="1">
      <alignment vertical="center"/>
    </xf>
    <xf numFmtId="193" fontId="5" fillId="0" borderId="0" xfId="4" applyNumberFormat="1" applyFont="1" applyFill="1" applyBorder="1" applyAlignment="1">
      <alignment vertical="center"/>
    </xf>
    <xf numFmtId="187" fontId="5" fillId="0" borderId="53" xfId="0" applyNumberFormat="1" applyFont="1" applyBorder="1" applyAlignment="1">
      <alignment vertical="center"/>
    </xf>
    <xf numFmtId="187" fontId="5" fillId="0" borderId="59" xfId="4" applyNumberFormat="1" applyFont="1" applyFill="1" applyBorder="1" applyAlignment="1">
      <alignment vertical="center"/>
    </xf>
    <xf numFmtId="187" fontId="5" fillId="0" borderId="60" xfId="4" applyNumberFormat="1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193" fontId="5" fillId="0" borderId="43" xfId="4" applyNumberFormat="1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187" fontId="6" fillId="0" borderId="39" xfId="3" applyFont="1" applyFill="1" applyBorder="1" applyAlignment="1">
      <alignment horizontal="right" vertical="center"/>
    </xf>
    <xf numFmtId="0" fontId="6" fillId="0" borderId="61" xfId="0" applyFont="1" applyBorder="1" applyAlignment="1">
      <alignment horizontal="center" vertical="center"/>
    </xf>
    <xf numFmtId="187" fontId="6" fillId="0" borderId="38" xfId="3" applyFont="1" applyFill="1" applyBorder="1" applyAlignment="1">
      <alignment horizontal="right" vertical="center"/>
    </xf>
    <xf numFmtId="0" fontId="6" fillId="0" borderId="3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5" xfId="0" applyFont="1" applyBorder="1" applyAlignment="1">
      <alignment horizontal="center" vertical="center"/>
    </xf>
    <xf numFmtId="187" fontId="6" fillId="0" borderId="53" xfId="3" applyFont="1" applyFill="1" applyBorder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187" fontId="6" fillId="0" borderId="43" xfId="3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87" fontId="6" fillId="0" borderId="37" xfId="3" applyFont="1" applyFill="1" applyBorder="1" applyAlignment="1">
      <alignment horizontal="right" vertical="center"/>
    </xf>
    <xf numFmtId="187" fontId="6" fillId="0" borderId="58" xfId="3" applyFont="1" applyFill="1" applyBorder="1" applyAlignment="1">
      <alignment horizontal="right" vertical="center"/>
    </xf>
    <xf numFmtId="0" fontId="6" fillId="0" borderId="62" xfId="0" applyFont="1" applyBorder="1" applyAlignment="1">
      <alignment horizontal="center" vertical="center"/>
    </xf>
    <xf numFmtId="187" fontId="6" fillId="0" borderId="55" xfId="3" applyFont="1" applyFill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187" fontId="6" fillId="0" borderId="40" xfId="3" applyFont="1" applyFill="1" applyBorder="1" applyAlignment="1">
      <alignment horizontal="right" vertical="center"/>
    </xf>
    <xf numFmtId="187" fontId="6" fillId="0" borderId="0" xfId="3" applyFont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88" fontId="4" fillId="0" borderId="21" xfId="2" applyFont="1" applyFill="1" applyBorder="1" applyAlignment="1" applyProtection="1">
      <alignment vertical="center"/>
    </xf>
    <xf numFmtId="190" fontId="4" fillId="0" borderId="21" xfId="2" applyNumberFormat="1" applyFont="1" applyFill="1" applyBorder="1" applyAlignment="1" applyProtection="1">
      <alignment vertical="center"/>
    </xf>
    <xf numFmtId="0" fontId="5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188" fontId="4" fillId="0" borderId="10" xfId="2" applyFont="1" applyFill="1" applyBorder="1" applyAlignment="1" applyProtection="1">
      <alignment vertical="center"/>
    </xf>
    <xf numFmtId="190" fontId="4" fillId="0" borderId="10" xfId="2" applyNumberFormat="1" applyFont="1" applyFill="1" applyBorder="1" applyAlignment="1" applyProtection="1">
      <alignment vertical="center"/>
    </xf>
    <xf numFmtId="188" fontId="4" fillId="0" borderId="11" xfId="2" applyFont="1" applyBorder="1" applyAlignment="1">
      <alignment horizontal="center" vertical="center"/>
    </xf>
    <xf numFmtId="190" fontId="4" fillId="0" borderId="11" xfId="2" applyNumberFormat="1" applyFont="1" applyBorder="1" applyAlignment="1">
      <alignment horizontal="center" vertical="center"/>
    </xf>
    <xf numFmtId="192" fontId="5" fillId="0" borderId="11" xfId="0" applyNumberFormat="1" applyFont="1" applyBorder="1" applyAlignment="1">
      <alignment horizontal="right" vertical="center"/>
    </xf>
    <xf numFmtId="192" fontId="5" fillId="0" borderId="8" xfId="0" applyNumberFormat="1" applyFont="1" applyBorder="1" applyAlignment="1">
      <alignment horizontal="center" vertical="center"/>
    </xf>
    <xf numFmtId="192" fontId="5" fillId="0" borderId="8" xfId="2" applyNumberFormat="1" applyFont="1" applyFill="1" applyBorder="1" applyAlignment="1" applyProtection="1">
      <alignment horizontal="center" vertical="center"/>
    </xf>
    <xf numFmtId="187" fontId="5" fillId="0" borderId="8" xfId="2" applyNumberFormat="1" applyFont="1" applyFill="1" applyBorder="1" applyAlignment="1" applyProtection="1">
      <alignment vertical="center"/>
    </xf>
    <xf numFmtId="187" fontId="5" fillId="0" borderId="14" xfId="2" applyNumberFormat="1" applyFont="1" applyFill="1" applyBorder="1" applyAlignment="1" applyProtection="1">
      <alignment vertical="center"/>
    </xf>
    <xf numFmtId="192" fontId="5" fillId="0" borderId="14" xfId="2" applyNumberFormat="1" applyFont="1" applyFill="1" applyBorder="1" applyAlignment="1" applyProtection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187" fontId="5" fillId="0" borderId="23" xfId="2" applyNumberFormat="1" applyFont="1" applyFill="1" applyBorder="1" applyAlignment="1" applyProtection="1">
      <alignment vertical="center"/>
    </xf>
    <xf numFmtId="187" fontId="5" fillId="0" borderId="24" xfId="2" applyNumberFormat="1" applyFont="1" applyFill="1" applyBorder="1" applyAlignment="1" applyProtection="1">
      <alignment vertical="center"/>
    </xf>
    <xf numFmtId="187" fontId="5" fillId="0" borderId="11" xfId="2" applyNumberFormat="1" applyFont="1" applyFill="1" applyBorder="1" applyAlignment="1" applyProtection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187" fontId="4" fillId="0" borderId="2" xfId="2" applyNumberFormat="1" applyFont="1" applyFill="1" applyBorder="1" applyAlignment="1" applyProtection="1">
      <alignment vertical="center"/>
    </xf>
    <xf numFmtId="187" fontId="4" fillId="0" borderId="10" xfId="2" applyNumberFormat="1" applyFont="1" applyFill="1" applyBorder="1" applyAlignment="1" applyProtection="1">
      <alignment vertical="center"/>
    </xf>
    <xf numFmtId="192" fontId="4" fillId="0" borderId="10" xfId="2" applyNumberFormat="1" applyFont="1" applyFill="1" applyBorder="1" applyAlignment="1" applyProtection="1">
      <alignment vertical="center"/>
    </xf>
    <xf numFmtId="187" fontId="4" fillId="0" borderId="64" xfId="3" applyFont="1" applyFill="1" applyBorder="1" applyAlignment="1">
      <alignment vertical="center"/>
    </xf>
    <xf numFmtId="192" fontId="4" fillId="0" borderId="65" xfId="3" applyNumberFormat="1" applyFont="1" applyFill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187" fontId="5" fillId="0" borderId="11" xfId="2" applyNumberFormat="1" applyFont="1" applyBorder="1" applyAlignment="1">
      <alignment horizontal="right" vertical="center"/>
    </xf>
    <xf numFmtId="187" fontId="5" fillId="0" borderId="21" xfId="2" applyNumberFormat="1" applyFont="1" applyFill="1" applyBorder="1" applyAlignment="1" applyProtection="1">
      <alignment vertical="center"/>
    </xf>
    <xf numFmtId="192" fontId="5" fillId="0" borderId="11" xfId="2" applyNumberFormat="1" applyFont="1" applyBorder="1" applyAlignment="1">
      <alignment horizontal="right" vertical="center"/>
    </xf>
    <xf numFmtId="188" fontId="4" fillId="0" borderId="11" xfId="2" applyFont="1" applyBorder="1" applyAlignment="1">
      <alignment horizontal="right" vertical="center"/>
    </xf>
    <xf numFmtId="49" fontId="5" fillId="0" borderId="21" xfId="2" applyNumberFormat="1" applyFont="1" applyFill="1" applyBorder="1" applyAlignment="1" applyProtection="1">
      <alignment horizontal="center" vertical="center"/>
    </xf>
    <xf numFmtId="192" fontId="5" fillId="0" borderId="21" xfId="2" applyNumberFormat="1" applyFont="1" applyFill="1" applyBorder="1" applyAlignment="1" applyProtection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192" fontId="5" fillId="0" borderId="11" xfId="2" applyNumberFormat="1" applyFont="1" applyBorder="1" applyAlignment="1">
      <alignment horizontal="center" vertical="center"/>
    </xf>
    <xf numFmtId="192" fontId="5" fillId="0" borderId="21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left" vertical="center"/>
    </xf>
    <xf numFmtId="187" fontId="5" fillId="0" borderId="11" xfId="2" applyNumberFormat="1" applyFont="1" applyBorder="1" applyAlignment="1">
      <alignment horizontal="center" vertical="center"/>
    </xf>
    <xf numFmtId="192" fontId="6" fillId="0" borderId="21" xfId="2" applyNumberFormat="1" applyFont="1" applyFill="1" applyBorder="1" applyAlignment="1" applyProtection="1">
      <alignment horizontal="left" vertical="center"/>
    </xf>
    <xf numFmtId="192" fontId="5" fillId="0" borderId="21" xfId="2" applyNumberFormat="1" applyFont="1" applyFill="1" applyBorder="1" applyAlignment="1" applyProtection="1">
      <alignment horizontal="center"/>
    </xf>
    <xf numFmtId="192" fontId="5" fillId="0" borderId="8" xfId="2" applyNumberFormat="1" applyFont="1" applyFill="1" applyBorder="1" applyAlignment="1" applyProtection="1">
      <alignment vertical="center"/>
    </xf>
    <xf numFmtId="10" fontId="5" fillId="0" borderId="8" xfId="2" applyNumberFormat="1" applyFont="1" applyFill="1" applyBorder="1" applyAlignment="1" applyProtection="1">
      <alignment horizontal="center" vertical="center"/>
    </xf>
    <xf numFmtId="188" fontId="4" fillId="0" borderId="66" xfId="2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 vertical="center"/>
    </xf>
    <xf numFmtId="9" fontId="5" fillId="0" borderId="21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2" fontId="5" fillId="0" borderId="13" xfId="0" applyNumberFormat="1" applyFont="1" applyBorder="1" applyAlignment="1">
      <alignment horizontal="center" vertical="center"/>
    </xf>
    <xf numFmtId="0" fontId="5" fillId="0" borderId="8" xfId="2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87" fontId="5" fillId="0" borderId="67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87" fontId="5" fillId="0" borderId="0" xfId="0" applyNumberFormat="1" applyFont="1" applyAlignment="1">
      <alignment horizontal="center" vertical="center"/>
    </xf>
    <xf numFmtId="193" fontId="5" fillId="0" borderId="0" xfId="0" applyNumberFormat="1" applyFont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92" fontId="5" fillId="0" borderId="67" xfId="0" applyNumberFormat="1" applyFont="1" applyBorder="1" applyAlignment="1">
      <alignment horizontal="center" vertical="center"/>
    </xf>
    <xf numFmtId="188" fontId="4" fillId="0" borderId="8" xfId="2" applyFont="1" applyFill="1" applyBorder="1" applyAlignment="1" applyProtection="1">
      <alignment vertical="center"/>
    </xf>
    <xf numFmtId="191" fontId="5" fillId="0" borderId="38" xfId="0" applyNumberFormat="1" applyFont="1" applyBorder="1" applyAlignment="1">
      <alignment horizontal="center" vertical="center"/>
    </xf>
    <xf numFmtId="188" fontId="4" fillId="0" borderId="3" xfId="2" applyFont="1" applyFill="1" applyBorder="1" applyAlignment="1" applyProtection="1">
      <alignment vertical="center"/>
    </xf>
    <xf numFmtId="188" fontId="4" fillId="0" borderId="63" xfId="2" applyFont="1" applyFill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189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5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192" fontId="6" fillId="0" borderId="14" xfId="2" applyNumberFormat="1" applyFont="1" applyFill="1" applyBorder="1" applyAlignment="1" applyProtection="1">
      <alignment horizontal="center" vertical="center"/>
    </xf>
    <xf numFmtId="190" fontId="6" fillId="0" borderId="14" xfId="2" applyNumberFormat="1" applyFont="1" applyFill="1" applyBorder="1" applyAlignment="1" applyProtection="1">
      <alignment horizontal="center" vertical="center"/>
    </xf>
    <xf numFmtId="190" fontId="11" fillId="0" borderId="21" xfId="2" applyNumberFormat="1" applyFont="1" applyFill="1" applyBorder="1" applyAlignment="1" applyProtection="1">
      <alignment vertical="center"/>
    </xf>
    <xf numFmtId="192" fontId="11" fillId="0" borderId="21" xfId="2" applyNumberFormat="1" applyFont="1" applyFill="1" applyBorder="1" applyAlignment="1" applyProtection="1">
      <alignment vertical="center"/>
    </xf>
    <xf numFmtId="187" fontId="15" fillId="0" borderId="39" xfId="3" applyFont="1" applyFill="1" applyBorder="1" applyAlignment="1">
      <alignment horizontal="right" vertical="center"/>
    </xf>
    <xf numFmtId="187" fontId="15" fillId="0" borderId="53" xfId="3" applyFont="1" applyFill="1" applyBorder="1" applyAlignment="1">
      <alignment horizontal="right" vertical="center"/>
    </xf>
    <xf numFmtId="187" fontId="15" fillId="0" borderId="43" xfId="3" applyFont="1" applyFill="1" applyBorder="1" applyAlignment="1">
      <alignment horizontal="right" vertical="center"/>
    </xf>
    <xf numFmtId="187" fontId="15" fillId="0" borderId="37" xfId="3" applyFont="1" applyFill="1" applyBorder="1" applyAlignment="1">
      <alignment horizontal="right" vertical="center"/>
    </xf>
    <xf numFmtId="0" fontId="5" fillId="0" borderId="68" xfId="0" applyFont="1" applyBorder="1" applyAlignment="1">
      <alignment horizontal="center" vertical="center"/>
    </xf>
    <xf numFmtId="190" fontId="5" fillId="0" borderId="69" xfId="2" applyNumberFormat="1" applyFont="1" applyFill="1" applyBorder="1" applyAlignment="1" applyProtection="1">
      <alignment horizontal="center" vertical="center"/>
    </xf>
    <xf numFmtId="43" fontId="5" fillId="0" borderId="0" xfId="0" applyNumberFormat="1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18" fillId="0" borderId="0" xfId="8" applyFont="1" applyAlignment="1" applyProtection="1">
      <alignment horizontal="center"/>
      <protection locked="0"/>
    </xf>
    <xf numFmtId="187" fontId="18" fillId="0" borderId="0" xfId="9" applyFont="1" applyFill="1" applyAlignment="1" applyProtection="1">
      <alignment horizontal="center"/>
      <protection locked="0"/>
    </xf>
    <xf numFmtId="0" fontId="4" fillId="0" borderId="0" xfId="10" applyFont="1"/>
    <xf numFmtId="0" fontId="5" fillId="0" borderId="0" xfId="10" applyFont="1"/>
    <xf numFmtId="0" fontId="5" fillId="0" borderId="0" xfId="10" quotePrefix="1" applyFont="1" applyProtection="1">
      <protection locked="0"/>
    </xf>
    <xf numFmtId="0" fontId="5" fillId="0" borderId="0" xfId="10" applyFont="1" applyProtection="1">
      <protection locked="0"/>
    </xf>
    <xf numFmtId="0" fontId="5" fillId="0" borderId="0" xfId="10" applyFont="1" applyAlignment="1" applyProtection="1">
      <alignment horizontal="center"/>
      <protection locked="0"/>
    </xf>
    <xf numFmtId="187" fontId="5" fillId="0" borderId="0" xfId="9" applyFont="1" applyFill="1" applyProtection="1">
      <protection locked="0"/>
    </xf>
    <xf numFmtId="0" fontId="4" fillId="0" borderId="0" xfId="10" applyFont="1" applyAlignment="1">
      <alignment horizontal="right"/>
    </xf>
    <xf numFmtId="192" fontId="5" fillId="0" borderId="0" xfId="9" applyNumberFormat="1" applyFont="1" applyFill="1" applyBorder="1" applyAlignment="1" applyProtection="1">
      <alignment horizontal="center"/>
      <protection locked="0"/>
    </xf>
    <xf numFmtId="0" fontId="5" fillId="0" borderId="0" xfId="10" applyFont="1" applyAlignment="1" applyProtection="1">
      <alignment horizontal="left"/>
      <protection locked="0"/>
    </xf>
    <xf numFmtId="0" fontId="5" fillId="0" borderId="0" xfId="10" applyFont="1" applyAlignment="1">
      <alignment horizontal="left"/>
    </xf>
    <xf numFmtId="0" fontId="18" fillId="0" borderId="0" xfId="8" applyFont="1" applyAlignment="1">
      <alignment horizontal="center"/>
    </xf>
    <xf numFmtId="0" fontId="20" fillId="0" borderId="85" xfId="8" applyFont="1" applyBorder="1" applyAlignment="1">
      <alignment horizontal="center" vertical="center"/>
    </xf>
    <xf numFmtId="0" fontId="20" fillId="0" borderId="88" xfId="8" applyFont="1" applyBorder="1" applyAlignment="1">
      <alignment horizontal="center" vertical="center"/>
    </xf>
    <xf numFmtId="0" fontId="18" fillId="0" borderId="90" xfId="8" applyFont="1" applyBorder="1" applyAlignment="1" applyProtection="1">
      <alignment horizontal="center"/>
      <protection locked="0"/>
    </xf>
    <xf numFmtId="187" fontId="18" fillId="0" borderId="90" xfId="9" applyFont="1" applyFill="1" applyBorder="1" applyAlignment="1" applyProtection="1">
      <alignment horizontal="center"/>
      <protection locked="0"/>
    </xf>
    <xf numFmtId="10" fontId="18" fillId="0" borderId="91" xfId="8" applyNumberFormat="1" applyFont="1" applyBorder="1" applyAlignment="1">
      <alignment horizontal="center"/>
    </xf>
    <xf numFmtId="0" fontId="18" fillId="0" borderId="92" xfId="8" applyFont="1" applyBorder="1" applyAlignment="1">
      <alignment horizontal="center"/>
    </xf>
    <xf numFmtId="189" fontId="18" fillId="0" borderId="93" xfId="8" applyNumberFormat="1" applyFont="1" applyBorder="1" applyAlignment="1">
      <alignment horizontal="center"/>
    </xf>
    <xf numFmtId="193" fontId="22" fillId="6" borderId="38" xfId="9" applyNumberFormat="1" applyFont="1" applyFill="1" applyBorder="1" applyAlignment="1" applyProtection="1">
      <alignment horizontal="center"/>
      <protection locked="0"/>
    </xf>
    <xf numFmtId="187" fontId="18" fillId="0" borderId="0" xfId="8" applyNumberFormat="1" applyFont="1" applyAlignment="1" applyProtection="1">
      <alignment horizontal="center"/>
      <protection locked="0"/>
    </xf>
    <xf numFmtId="187" fontId="18" fillId="0" borderId="84" xfId="9" applyFont="1" applyFill="1" applyBorder="1" applyAlignment="1" applyProtection="1">
      <alignment horizontal="center"/>
      <protection locked="0"/>
    </xf>
    <xf numFmtId="0" fontId="18" fillId="0" borderId="86" xfId="8" applyFont="1" applyBorder="1" applyProtection="1">
      <protection locked="0"/>
    </xf>
    <xf numFmtId="0" fontId="18" fillId="0" borderId="94" xfId="8" applyFont="1" applyBorder="1" applyAlignment="1">
      <alignment horizontal="center"/>
    </xf>
    <xf numFmtId="187" fontId="18" fillId="0" borderId="95" xfId="9" applyFont="1" applyFill="1" applyBorder="1" applyAlignment="1" applyProtection="1">
      <alignment horizontal="center"/>
      <protection locked="0"/>
    </xf>
    <xf numFmtId="193" fontId="18" fillId="0" borderId="96" xfId="9" applyNumberFormat="1" applyFont="1" applyFill="1" applyBorder="1" applyAlignment="1" applyProtection="1">
      <protection locked="0"/>
    </xf>
    <xf numFmtId="0" fontId="18" fillId="0" borderId="0" xfId="8" applyFont="1" applyAlignment="1" applyProtection="1">
      <alignment horizontal="left"/>
      <protection locked="0"/>
    </xf>
    <xf numFmtId="0" fontId="19" fillId="0" borderId="0" xfId="8" applyFont="1" applyAlignment="1" applyProtection="1">
      <alignment horizontal="center"/>
      <protection locked="0"/>
    </xf>
    <xf numFmtId="0" fontId="19" fillId="6" borderId="61" xfId="8" applyFont="1" applyFill="1" applyBorder="1" applyAlignment="1" applyProtection="1">
      <alignment horizontal="center"/>
      <protection locked="0"/>
    </xf>
    <xf numFmtId="193" fontId="22" fillId="6" borderId="38" xfId="9" applyNumberFormat="1" applyFont="1" applyFill="1" applyBorder="1" applyAlignment="1" applyProtection="1">
      <alignment horizontal="left"/>
      <protection locked="0"/>
    </xf>
    <xf numFmtId="0" fontId="23" fillId="0" borderId="0" xfId="10" applyFont="1" applyProtection="1">
      <protection locked="0"/>
    </xf>
    <xf numFmtId="0" fontId="18" fillId="0" borderId="96" xfId="8" applyFont="1" applyBorder="1" applyProtection="1">
      <protection locked="0"/>
    </xf>
    <xf numFmtId="0" fontId="19" fillId="7" borderId="61" xfId="8" applyFont="1" applyFill="1" applyBorder="1" applyAlignment="1" applyProtection="1">
      <alignment horizontal="center"/>
      <protection locked="0"/>
    </xf>
    <xf numFmtId="187" fontId="24" fillId="7" borderId="38" xfId="9" applyFont="1" applyFill="1" applyBorder="1" applyProtection="1">
      <protection locked="0"/>
    </xf>
    <xf numFmtId="0" fontId="18" fillId="8" borderId="61" xfId="8" applyFont="1" applyFill="1" applyBorder="1" applyAlignment="1" applyProtection="1">
      <alignment horizontal="center"/>
      <protection locked="0"/>
    </xf>
    <xf numFmtId="189" fontId="18" fillId="8" borderId="38" xfId="8" applyNumberFormat="1" applyFont="1" applyFill="1" applyBorder="1" applyAlignment="1" applyProtection="1">
      <alignment horizontal="right"/>
      <protection locked="0"/>
    </xf>
    <xf numFmtId="187" fontId="18" fillId="0" borderId="90" xfId="9" applyFont="1" applyFill="1" applyBorder="1" applyAlignment="1" applyProtection="1">
      <alignment horizontal="center" vertical="center"/>
      <protection locked="0"/>
    </xf>
    <xf numFmtId="0" fontId="18" fillId="0" borderId="94" xfId="8" applyFont="1" applyBorder="1" applyAlignment="1">
      <alignment horizontal="center" vertical="center"/>
    </xf>
    <xf numFmtId="0" fontId="19" fillId="9" borderId="61" xfId="8" applyFont="1" applyFill="1" applyBorder="1" applyAlignment="1" applyProtection="1">
      <alignment horizontal="center"/>
      <protection locked="0"/>
    </xf>
    <xf numFmtId="187" fontId="24" fillId="9" borderId="38" xfId="9" applyFont="1" applyFill="1" applyBorder="1" applyProtection="1">
      <protection locked="0"/>
    </xf>
    <xf numFmtId="0" fontId="18" fillId="10" borderId="61" xfId="8" applyFont="1" applyFill="1" applyBorder="1" applyAlignment="1" applyProtection="1">
      <alignment horizontal="center"/>
      <protection locked="0"/>
    </xf>
    <xf numFmtId="0" fontId="18" fillId="10" borderId="38" xfId="8" applyFont="1" applyFill="1" applyBorder="1" applyAlignment="1" applyProtection="1">
      <alignment horizontal="right"/>
      <protection locked="0"/>
    </xf>
    <xf numFmtId="187" fontId="18" fillId="0" borderId="95" xfId="9" applyFont="1" applyFill="1" applyBorder="1" applyAlignment="1" applyProtection="1">
      <alignment horizontal="center" vertical="center"/>
      <protection locked="0"/>
    </xf>
    <xf numFmtId="0" fontId="29" fillId="0" borderId="100" xfId="8" applyFont="1" applyBorder="1" applyAlignment="1">
      <alignment horizontal="left"/>
    </xf>
    <xf numFmtId="0" fontId="18" fillId="0" borderId="100" xfId="8" applyFont="1" applyBorder="1" applyAlignment="1">
      <alignment horizontal="right"/>
    </xf>
    <xf numFmtId="0" fontId="29" fillId="0" borderId="0" xfId="8" applyFont="1" applyAlignment="1">
      <alignment horizontal="left"/>
    </xf>
    <xf numFmtId="0" fontId="18" fillId="0" borderId="0" xfId="8" applyFont="1" applyAlignment="1">
      <alignment horizontal="right"/>
    </xf>
    <xf numFmtId="196" fontId="18" fillId="11" borderId="38" xfId="9" applyNumberFormat="1" applyFont="1" applyFill="1" applyBorder="1" applyAlignment="1" applyProtection="1">
      <alignment horizontal="left"/>
      <protection locked="0"/>
    </xf>
    <xf numFmtId="196" fontId="18" fillId="12" borderId="38" xfId="9" applyNumberFormat="1" applyFont="1" applyFill="1" applyBorder="1" applyAlignment="1" applyProtection="1">
      <alignment horizontal="left"/>
      <protection locked="0"/>
    </xf>
    <xf numFmtId="197" fontId="18" fillId="0" borderId="0" xfId="8" applyNumberFormat="1" applyFont="1" applyAlignment="1" applyProtection="1">
      <alignment horizontal="center"/>
      <protection locked="0"/>
    </xf>
    <xf numFmtId="196" fontId="30" fillId="13" borderId="38" xfId="9" applyNumberFormat="1" applyFont="1" applyFill="1" applyBorder="1" applyAlignment="1" applyProtection="1">
      <alignment horizontal="left"/>
      <protection locked="0"/>
    </xf>
    <xf numFmtId="189" fontId="18" fillId="0" borderId="96" xfId="8" applyNumberFormat="1" applyFont="1" applyBorder="1" applyProtection="1">
      <protection locked="0"/>
    </xf>
    <xf numFmtId="0" fontId="29" fillId="0" borderId="98" xfId="8" applyFont="1" applyBorder="1" applyAlignment="1">
      <alignment horizontal="left"/>
    </xf>
    <xf numFmtId="0" fontId="18" fillId="0" borderId="98" xfId="8" applyFont="1" applyBorder="1" applyAlignment="1">
      <alignment horizontal="right"/>
    </xf>
    <xf numFmtId="0" fontId="18" fillId="0" borderId="30" xfId="8" applyFont="1" applyBorder="1" applyAlignment="1">
      <alignment horizontal="left"/>
    </xf>
    <xf numFmtId="0" fontId="29" fillId="0" borderId="99" xfId="8" applyFont="1" applyBorder="1" applyAlignment="1">
      <alignment horizontal="center" vertical="top"/>
    </xf>
    <xf numFmtId="0" fontId="18" fillId="0" borderId="100" xfId="8" applyFont="1" applyBorder="1" applyAlignment="1">
      <alignment horizontal="left" vertical="center"/>
    </xf>
    <xf numFmtId="0" fontId="18" fillId="0" borderId="101" xfId="8" applyFont="1" applyBorder="1" applyAlignment="1">
      <alignment horizontal="left" vertical="center"/>
    </xf>
    <xf numFmtId="0" fontId="31" fillId="0" borderId="30" xfId="8" applyFont="1" applyBorder="1" applyAlignment="1">
      <alignment horizontal="center" vertical="top"/>
    </xf>
    <xf numFmtId="0" fontId="31" fillId="0" borderId="0" xfId="8" applyFont="1" applyAlignment="1">
      <alignment horizontal="right" vertical="center"/>
    </xf>
    <xf numFmtId="0" fontId="31" fillId="0" borderId="98" xfId="8" applyFont="1" applyBorder="1" applyAlignment="1">
      <alignment horizontal="center" vertical="center"/>
    </xf>
    <xf numFmtId="193" fontId="31" fillId="0" borderId="98" xfId="9" applyNumberFormat="1" applyFont="1" applyFill="1" applyBorder="1" applyAlignment="1" applyProtection="1">
      <alignment horizontal="left" vertical="center"/>
    </xf>
    <xf numFmtId="187" fontId="31" fillId="0" borderId="98" xfId="9" applyFont="1" applyFill="1" applyBorder="1" applyAlignment="1" applyProtection="1">
      <alignment horizontal="center" vertical="center"/>
    </xf>
    <xf numFmtId="187" fontId="31" fillId="0" borderId="98" xfId="8" applyNumberFormat="1" applyFont="1" applyBorder="1" applyAlignment="1">
      <alignment horizontal="left" vertical="center"/>
    </xf>
    <xf numFmtId="0" fontId="31" fillId="0" borderId="91" xfId="8" applyFont="1" applyBorder="1" applyAlignment="1">
      <alignment horizontal="left" vertical="center"/>
    </xf>
    <xf numFmtId="0" fontId="18" fillId="0" borderId="30" xfId="8" applyFont="1" applyBorder="1" applyAlignment="1">
      <alignment horizontal="center" vertical="top"/>
    </xf>
    <xf numFmtId="0" fontId="31" fillId="0" borderId="0" xfId="8" applyFont="1" applyAlignment="1">
      <alignment horizontal="center" vertical="center"/>
    </xf>
    <xf numFmtId="187" fontId="31" fillId="0" borderId="0" xfId="8" applyNumberFormat="1" applyFont="1" applyAlignment="1">
      <alignment horizontal="center" vertical="center"/>
    </xf>
    <xf numFmtId="0" fontId="31" fillId="0" borderId="0" xfId="8" applyFont="1" applyAlignment="1">
      <alignment horizontal="left" vertical="center"/>
    </xf>
    <xf numFmtId="0" fontId="31" fillId="0" borderId="91" xfId="8" applyFont="1" applyBorder="1" applyAlignment="1">
      <alignment horizontal="center" vertical="center"/>
    </xf>
    <xf numFmtId="0" fontId="20" fillId="0" borderId="0" xfId="8" applyFont="1" applyAlignment="1">
      <alignment horizontal="right" vertical="center"/>
    </xf>
    <xf numFmtId="0" fontId="1" fillId="0" borderId="0" xfId="10"/>
    <xf numFmtId="0" fontId="31" fillId="0" borderId="91" xfId="8" applyFont="1" applyBorder="1"/>
    <xf numFmtId="0" fontId="18" fillId="0" borderId="0" xfId="8" applyFont="1" applyAlignment="1" applyProtection="1">
      <alignment horizontal="right"/>
      <protection locked="0"/>
    </xf>
    <xf numFmtId="0" fontId="29" fillId="0" borderId="0" xfId="8" applyFont="1" applyAlignment="1">
      <alignment horizontal="left" vertical="center"/>
    </xf>
    <xf numFmtId="0" fontId="18" fillId="0" borderId="0" xfId="8" applyFont="1" applyAlignment="1">
      <alignment horizontal="center" vertical="center"/>
    </xf>
    <xf numFmtId="189" fontId="18" fillId="0" borderId="0" xfId="8" applyNumberFormat="1" applyFont="1" applyAlignment="1" applyProtection="1">
      <alignment horizontal="right"/>
      <protection locked="0"/>
    </xf>
    <xf numFmtId="0" fontId="18" fillId="0" borderId="32" xfId="8" applyFont="1" applyBorder="1" applyAlignment="1">
      <alignment horizontal="center" vertical="top"/>
    </xf>
    <xf numFmtId="0" fontId="18" fillId="0" borderId="33" xfId="8" applyFont="1" applyBorder="1" applyAlignment="1">
      <alignment horizontal="center" vertical="center"/>
    </xf>
    <xf numFmtId="0" fontId="18" fillId="0" borderId="105" xfId="8" applyFont="1" applyBorder="1" applyAlignment="1">
      <alignment horizontal="center"/>
    </xf>
    <xf numFmtId="189" fontId="18" fillId="0" borderId="106" xfId="8" applyNumberFormat="1" applyFont="1" applyBorder="1" applyAlignment="1">
      <alignment horizontal="center"/>
    </xf>
    <xf numFmtId="187" fontId="18" fillId="0" borderId="87" xfId="9" applyFont="1" applyFill="1" applyBorder="1" applyAlignment="1" applyProtection="1">
      <alignment horizontal="center"/>
      <protection locked="0"/>
    </xf>
    <xf numFmtId="193" fontId="18" fillId="0" borderId="89" xfId="9" applyNumberFormat="1" applyFont="1" applyFill="1" applyBorder="1" applyAlignment="1" applyProtection="1">
      <protection locked="0"/>
    </xf>
    <xf numFmtId="0" fontId="1" fillId="0" borderId="90" xfId="10" applyBorder="1" applyProtection="1">
      <protection locked="0"/>
    </xf>
    <xf numFmtId="198" fontId="32" fillId="0" borderId="104" xfId="8" applyNumberFormat="1" applyFont="1" applyBorder="1" applyAlignment="1">
      <alignment horizontal="center" vertical="center"/>
    </xf>
    <xf numFmtId="0" fontId="4" fillId="0" borderId="0" xfId="11" applyFont="1" applyAlignment="1">
      <alignment vertical="center"/>
    </xf>
    <xf numFmtId="187" fontId="4" fillId="0" borderId="0" xfId="11" applyNumberFormat="1" applyFont="1" applyAlignment="1">
      <alignment vertical="center"/>
    </xf>
    <xf numFmtId="0" fontId="5" fillId="0" borderId="0" xfId="11" applyFont="1" applyAlignment="1">
      <alignment horizontal="left" vertical="center"/>
    </xf>
    <xf numFmtId="0" fontId="4" fillId="0" borderId="0" xfId="11" applyFont="1"/>
    <xf numFmtId="0" fontId="4" fillId="0" borderId="85" xfId="11" applyFont="1" applyBorder="1" applyAlignment="1">
      <alignment horizontal="center" vertical="center"/>
    </xf>
    <xf numFmtId="0" fontId="4" fillId="0" borderId="88" xfId="11" applyFont="1" applyBorder="1" applyAlignment="1">
      <alignment horizontal="center" vertical="center"/>
    </xf>
    <xf numFmtId="0" fontId="4" fillId="0" borderId="107" xfId="11" applyFont="1" applyBorder="1" applyAlignment="1">
      <alignment horizontal="center" vertical="center"/>
    </xf>
    <xf numFmtId="0" fontId="4" fillId="0" borderId="108" xfId="11" applyFont="1" applyBorder="1" applyAlignment="1">
      <alignment vertical="center"/>
    </xf>
    <xf numFmtId="187" fontId="5" fillId="0" borderId="108" xfId="3" applyFont="1" applyFill="1" applyBorder="1" applyAlignment="1">
      <alignment horizontal="center" vertical="center"/>
    </xf>
    <xf numFmtId="0" fontId="5" fillId="0" borderId="108" xfId="11" applyFont="1" applyBorder="1" applyAlignment="1">
      <alignment horizontal="center" vertical="center"/>
    </xf>
    <xf numFmtId="192" fontId="5" fillId="0" borderId="108" xfId="3" applyNumberFormat="1" applyFont="1" applyFill="1" applyBorder="1" applyAlignment="1">
      <alignment vertical="center"/>
    </xf>
    <xf numFmtId="187" fontId="5" fillId="0" borderId="108" xfId="3" applyFont="1" applyFill="1" applyBorder="1" applyAlignment="1">
      <alignment vertical="center"/>
    </xf>
    <xf numFmtId="192" fontId="5" fillId="0" borderId="109" xfId="3" applyNumberFormat="1" applyFont="1" applyFill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110" xfId="11" applyFont="1" applyBorder="1" applyAlignment="1">
      <alignment horizontal="center" vertical="center"/>
    </xf>
    <xf numFmtId="0" fontId="5" fillId="0" borderId="94" xfId="11" applyFont="1" applyBorder="1" applyAlignment="1">
      <alignment vertical="center"/>
    </xf>
    <xf numFmtId="187" fontId="5" fillId="0" borderId="94" xfId="3" applyFont="1" applyFill="1" applyBorder="1" applyAlignment="1">
      <alignment horizontal="center" vertical="center"/>
    </xf>
    <xf numFmtId="0" fontId="5" fillId="0" borderId="94" xfId="11" applyFont="1" applyBorder="1" applyAlignment="1">
      <alignment horizontal="center" vertical="center"/>
    </xf>
    <xf numFmtId="187" fontId="5" fillId="0" borderId="94" xfId="3" applyFont="1" applyFill="1" applyBorder="1" applyAlignment="1">
      <alignment vertical="center"/>
    </xf>
    <xf numFmtId="192" fontId="5" fillId="0" borderId="111" xfId="3" applyNumberFormat="1" applyFont="1" applyFill="1" applyBorder="1" applyAlignment="1">
      <alignment vertical="center"/>
    </xf>
    <xf numFmtId="187" fontId="5" fillId="0" borderId="0" xfId="11" applyNumberFormat="1" applyFont="1" applyAlignment="1">
      <alignment vertical="center"/>
    </xf>
    <xf numFmtId="192" fontId="5" fillId="0" borderId="111" xfId="3" applyNumberFormat="1" applyFont="1" applyFill="1" applyBorder="1" applyAlignment="1">
      <alignment horizontal="center" vertical="center"/>
    </xf>
    <xf numFmtId="192" fontId="5" fillId="0" borderId="94" xfId="3" applyNumberFormat="1" applyFont="1" applyFill="1" applyBorder="1" applyAlignment="1">
      <alignment vertical="center"/>
    </xf>
    <xf numFmtId="0" fontId="5" fillId="0" borderId="112" xfId="11" applyFont="1" applyBorder="1" applyAlignment="1">
      <alignment horizontal="center" vertical="center"/>
    </xf>
    <xf numFmtId="0" fontId="5" fillId="0" borderId="113" xfId="11" applyFont="1" applyBorder="1" applyAlignment="1">
      <alignment vertical="center"/>
    </xf>
    <xf numFmtId="187" fontId="5" fillId="0" borderId="113" xfId="3" applyFont="1" applyFill="1" applyBorder="1" applyAlignment="1">
      <alignment horizontal="center" vertical="center"/>
    </xf>
    <xf numFmtId="0" fontId="5" fillId="0" borderId="113" xfId="11" applyFont="1" applyBorder="1" applyAlignment="1">
      <alignment horizontal="center" vertical="center"/>
    </xf>
    <xf numFmtId="192" fontId="5" fillId="0" borderId="113" xfId="3" applyNumberFormat="1" applyFont="1" applyFill="1" applyBorder="1" applyAlignment="1">
      <alignment vertical="center"/>
    </xf>
    <xf numFmtId="187" fontId="5" fillId="0" borderId="113" xfId="3" applyFont="1" applyFill="1" applyBorder="1" applyAlignment="1">
      <alignment vertical="center"/>
    </xf>
    <xf numFmtId="192" fontId="5" fillId="0" borderId="114" xfId="3" applyNumberFormat="1" applyFont="1" applyFill="1" applyBorder="1" applyAlignment="1">
      <alignment horizontal="center" vertical="center"/>
    </xf>
    <xf numFmtId="0" fontId="5" fillId="0" borderId="115" xfId="11" applyFont="1" applyBorder="1" applyAlignment="1">
      <alignment horizontal="center" vertical="center"/>
    </xf>
    <xf numFmtId="0" fontId="4" fillId="0" borderId="116" xfId="11" applyFont="1" applyBorder="1" applyAlignment="1">
      <alignment horizontal="center" vertical="center"/>
    </xf>
    <xf numFmtId="187" fontId="5" fillId="0" borderId="116" xfId="3" applyFont="1" applyFill="1" applyBorder="1" applyAlignment="1">
      <alignment horizontal="center" vertical="center"/>
    </xf>
    <xf numFmtId="0" fontId="5" fillId="0" borderId="116" xfId="11" applyFont="1" applyBorder="1" applyAlignment="1">
      <alignment horizontal="center" vertical="center"/>
    </xf>
    <xf numFmtId="192" fontId="5" fillId="0" borderId="116" xfId="3" applyNumberFormat="1" applyFont="1" applyFill="1" applyBorder="1" applyAlignment="1">
      <alignment vertical="center"/>
    </xf>
    <xf numFmtId="187" fontId="4" fillId="14" borderId="116" xfId="3" applyFont="1" applyFill="1" applyBorder="1" applyAlignment="1">
      <alignment vertical="center"/>
    </xf>
    <xf numFmtId="192" fontId="5" fillId="0" borderId="117" xfId="3" applyNumberFormat="1" applyFont="1" applyFill="1" applyBorder="1" applyAlignment="1">
      <alignment vertical="center"/>
    </xf>
    <xf numFmtId="193" fontId="5" fillId="0" borderId="0" xfId="11" applyNumberFormat="1" applyFont="1" applyAlignment="1">
      <alignment vertical="center"/>
    </xf>
    <xf numFmtId="0" fontId="5" fillId="0" borderId="26" xfId="0" applyFont="1" applyBorder="1" applyAlignment="1">
      <alignment horizontal="left" vertical="center"/>
    </xf>
    <xf numFmtId="187" fontId="4" fillId="0" borderId="118" xfId="2" applyNumberFormat="1" applyFont="1" applyFill="1" applyBorder="1" applyAlignment="1" applyProtection="1">
      <alignment vertical="center"/>
    </xf>
    <xf numFmtId="187" fontId="4" fillId="0" borderId="68" xfId="2" applyNumberFormat="1" applyFont="1" applyFill="1" applyBorder="1" applyAlignment="1" applyProtection="1">
      <alignment vertical="center"/>
    </xf>
    <xf numFmtId="0" fontId="12" fillId="0" borderId="0" xfId="0" applyFont="1" applyAlignment="1">
      <alignment horizontal="right"/>
    </xf>
    <xf numFmtId="0" fontId="5" fillId="0" borderId="94" xfId="0" applyFont="1" applyBorder="1" applyAlignment="1">
      <alignment vertical="center"/>
    </xf>
    <xf numFmtId="0" fontId="5" fillId="0" borderId="94" xfId="0" applyFont="1" applyBorder="1" applyAlignment="1">
      <alignment horizontal="left" vertical="center"/>
    </xf>
    <xf numFmtId="192" fontId="6" fillId="0" borderId="48" xfId="3" applyNumberFormat="1" applyFont="1" applyFill="1" applyBorder="1" applyAlignment="1">
      <alignment horizontal="center" vertical="center"/>
    </xf>
    <xf numFmtId="188" fontId="4" fillId="0" borderId="18" xfId="2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8" fontId="4" fillId="0" borderId="2" xfId="2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 vertical="center"/>
    </xf>
    <xf numFmtId="188" fontId="4" fillId="0" borderId="1" xfId="2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87" fontId="4" fillId="0" borderId="36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189" fontId="34" fillId="0" borderId="0" xfId="0" applyNumberFormat="1" applyFont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189" fontId="37" fillId="0" borderId="0" xfId="0" applyNumberFormat="1" applyFont="1" applyAlignment="1">
      <alignment horizontal="center"/>
    </xf>
    <xf numFmtId="0" fontId="34" fillId="0" borderId="0" xfId="0" applyFont="1" applyAlignment="1">
      <alignment horizontal="right"/>
    </xf>
    <xf numFmtId="189" fontId="34" fillId="0" borderId="0" xfId="0" applyNumberFormat="1" applyFont="1" applyAlignment="1">
      <alignment horizontal="right"/>
    </xf>
    <xf numFmtId="189" fontId="34" fillId="0" borderId="0" xfId="0" applyNumberFormat="1" applyFont="1"/>
    <xf numFmtId="0" fontId="35" fillId="0" borderId="26" xfId="0" applyFont="1" applyBorder="1" applyAlignment="1">
      <alignment vertical="center"/>
    </xf>
    <xf numFmtId="0" fontId="34" fillId="0" borderId="26" xfId="0" applyFont="1" applyBorder="1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188" fontId="35" fillId="0" borderId="18" xfId="2" applyFont="1" applyFill="1" applyBorder="1" applyAlignment="1" applyProtection="1">
      <alignment vertical="center"/>
    </xf>
    <xf numFmtId="0" fontId="34" fillId="0" borderId="10" xfId="0" applyFont="1" applyBorder="1" applyAlignment="1">
      <alignment vertical="center"/>
    </xf>
    <xf numFmtId="0" fontId="38" fillId="0" borderId="0" xfId="0" applyFont="1" applyAlignment="1">
      <alignment horizontal="right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left" vertical="center"/>
    </xf>
    <xf numFmtId="0" fontId="35" fillId="0" borderId="13" xfId="0" applyFont="1" applyBorder="1" applyAlignment="1">
      <alignment vertical="center"/>
    </xf>
    <xf numFmtId="188" fontId="35" fillId="0" borderId="63" xfId="2" applyFont="1" applyFill="1" applyBorder="1" applyAlignment="1" applyProtection="1">
      <alignment vertical="center"/>
    </xf>
    <xf numFmtId="9" fontId="34" fillId="0" borderId="21" xfId="0" applyNumberFormat="1" applyFont="1" applyBorder="1" applyAlignment="1">
      <alignment horizontal="left" vertical="center"/>
    </xf>
    <xf numFmtId="0" fontId="34" fillId="0" borderId="21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0" fontId="34" fillId="0" borderId="8" xfId="0" applyFont="1" applyBorder="1" applyAlignment="1">
      <alignment horizontal="center" vertical="center"/>
    </xf>
    <xf numFmtId="0" fontId="34" fillId="0" borderId="16" xfId="0" applyFont="1" applyBorder="1" applyAlignment="1">
      <alignment vertical="center"/>
    </xf>
    <xf numFmtId="0" fontId="34" fillId="0" borderId="17" xfId="0" applyFont="1" applyBorder="1" applyAlignment="1">
      <alignment vertical="center"/>
    </xf>
    <xf numFmtId="188" fontId="35" fillId="0" borderId="23" xfId="2" applyFont="1" applyFill="1" applyBorder="1" applyAlignment="1" applyProtection="1">
      <alignment vertical="center"/>
    </xf>
    <xf numFmtId="0" fontId="34" fillId="0" borderId="23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0" fontId="34" fillId="0" borderId="13" xfId="0" applyFont="1" applyBorder="1" applyAlignment="1">
      <alignment vertical="center"/>
    </xf>
    <xf numFmtId="10" fontId="34" fillId="0" borderId="13" xfId="0" applyNumberFormat="1" applyFont="1" applyBorder="1" applyAlignment="1">
      <alignment horizontal="left" vertical="center"/>
    </xf>
    <xf numFmtId="0" fontId="34" fillId="0" borderId="8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188" fontId="35" fillId="0" borderId="2" xfId="2" applyFont="1" applyFill="1" applyBorder="1" applyAlignment="1" applyProtection="1">
      <alignment vertical="center"/>
    </xf>
    <xf numFmtId="0" fontId="35" fillId="0" borderId="7" xfId="0" applyFont="1" applyBorder="1" applyAlignment="1">
      <alignment horizontal="left" vertical="center"/>
    </xf>
    <xf numFmtId="0" fontId="34" fillId="0" borderId="6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189" fontId="34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15" fontId="34" fillId="0" borderId="0" xfId="0" applyNumberFormat="1" applyFont="1" applyAlignment="1">
      <alignment vertical="center"/>
    </xf>
    <xf numFmtId="190" fontId="5" fillId="0" borderId="11" xfId="2" applyNumberFormat="1" applyFont="1" applyFill="1" applyBorder="1" applyAlignment="1" applyProtection="1">
      <alignment vertical="center"/>
    </xf>
    <xf numFmtId="192" fontId="5" fillId="0" borderId="11" xfId="2" applyNumberFormat="1" applyFont="1" applyFill="1" applyBorder="1" applyAlignment="1">
      <alignment horizontal="center" vertical="center"/>
    </xf>
    <xf numFmtId="187" fontId="5" fillId="0" borderId="8" xfId="0" applyNumberFormat="1" applyFont="1" applyBorder="1" applyAlignment="1">
      <alignment horizontal="center" vertical="center"/>
    </xf>
    <xf numFmtId="192" fontId="5" fillId="0" borderId="23" xfId="0" applyNumberFormat="1" applyFont="1" applyBorder="1" applyAlignment="1">
      <alignment horizontal="center" vertical="center"/>
    </xf>
    <xf numFmtId="192" fontId="5" fillId="0" borderId="14" xfId="2" applyNumberFormat="1" applyFont="1" applyFill="1" applyBorder="1" applyAlignment="1" applyProtection="1">
      <alignment horizontal="center"/>
    </xf>
    <xf numFmtId="0" fontId="5" fillId="0" borderId="11" xfId="2" applyNumberFormat="1" applyFont="1" applyFill="1" applyBorder="1" applyAlignment="1" applyProtection="1">
      <alignment vertical="center"/>
    </xf>
    <xf numFmtId="192" fontId="5" fillId="0" borderId="11" xfId="2" applyNumberFormat="1" applyFont="1" applyFill="1" applyBorder="1" applyAlignment="1" applyProtection="1">
      <alignment vertical="center"/>
    </xf>
    <xf numFmtId="0" fontId="5" fillId="0" borderId="0" xfId="10" applyFont="1" applyAlignment="1" applyProtection="1">
      <protection locked="0"/>
    </xf>
    <xf numFmtId="0" fontId="4" fillId="0" borderId="55" xfId="0" applyFont="1" applyBorder="1" applyAlignment="1">
      <alignment horizontal="center" vertical="center"/>
    </xf>
    <xf numFmtId="187" fontId="4" fillId="0" borderId="55" xfId="4" applyNumberFormat="1" applyFont="1" applyFill="1" applyBorder="1" applyAlignment="1">
      <alignment vertical="center"/>
    </xf>
    <xf numFmtId="192" fontId="4" fillId="0" borderId="56" xfId="4" applyNumberFormat="1" applyFont="1" applyFill="1" applyBorder="1" applyAlignment="1">
      <alignment vertical="center"/>
    </xf>
    <xf numFmtId="0" fontId="5" fillId="0" borderId="38" xfId="0" applyFont="1" applyBorder="1" applyAlignment="1">
      <alignment vertical="center"/>
    </xf>
    <xf numFmtId="187" fontId="4" fillId="0" borderId="38" xfId="4" applyNumberFormat="1" applyFont="1" applyFill="1" applyBorder="1" applyAlignment="1">
      <alignment vertical="center"/>
    </xf>
    <xf numFmtId="192" fontId="5" fillId="0" borderId="25" xfId="4" applyNumberFormat="1" applyFont="1" applyFill="1" applyBorder="1" applyAlignment="1">
      <alignment vertical="center"/>
    </xf>
    <xf numFmtId="2" fontId="4" fillId="0" borderId="38" xfId="4" applyNumberFormat="1" applyFont="1" applyFill="1" applyBorder="1" applyAlignment="1">
      <alignment vertical="center"/>
    </xf>
    <xf numFmtId="189" fontId="4" fillId="0" borderId="2" xfId="2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8" xfId="2" applyNumberFormat="1" applyFont="1" applyFill="1" applyBorder="1" applyAlignment="1" applyProtection="1">
      <alignment horizontal="center" vertical="center"/>
    </xf>
    <xf numFmtId="188" fontId="4" fillId="0" borderId="8" xfId="2" applyFont="1" applyFill="1" applyBorder="1" applyAlignment="1" applyProtection="1">
      <alignment horizontal="center" vertical="center"/>
    </xf>
    <xf numFmtId="188" fontId="4" fillId="0" borderId="2" xfId="2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 vertical="center"/>
    </xf>
    <xf numFmtId="188" fontId="4" fillId="0" borderId="8" xfId="2" applyFont="1" applyFill="1" applyBorder="1" applyAlignment="1" applyProtection="1">
      <alignment horizontal="right" vertical="center"/>
    </xf>
    <xf numFmtId="2" fontId="4" fillId="0" borderId="8" xfId="2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2" fillId="0" borderId="9" xfId="2" applyBorder="1" applyAlignment="1">
      <alignment horizontal="center" vertical="center"/>
    </xf>
    <xf numFmtId="188" fontId="2" fillId="0" borderId="70" xfId="2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5" fillId="0" borderId="14" xfId="2" applyNumberFormat="1" applyFont="1" applyFill="1" applyBorder="1" applyAlignment="1" applyProtection="1">
      <alignment horizontal="center" vertical="center"/>
    </xf>
    <xf numFmtId="0" fontId="35" fillId="0" borderId="8" xfId="2" applyNumberFormat="1" applyFont="1" applyFill="1" applyBorder="1" applyAlignment="1" applyProtection="1">
      <alignment horizontal="center" vertical="center"/>
    </xf>
    <xf numFmtId="188" fontId="35" fillId="0" borderId="14" xfId="2" applyFont="1" applyFill="1" applyBorder="1" applyAlignment="1" applyProtection="1">
      <alignment horizontal="center" vertical="center"/>
    </xf>
    <xf numFmtId="188" fontId="35" fillId="0" borderId="12" xfId="2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35" fillId="0" borderId="119" xfId="0" applyFont="1" applyBorder="1" applyAlignment="1">
      <alignment horizontal="center" vertical="center"/>
    </xf>
    <xf numFmtId="0" fontId="35" fillId="0" borderId="120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5" fillId="0" borderId="1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188" fontId="39" fillId="0" borderId="9" xfId="2" applyFont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12" xfId="0" applyFont="1" applyBorder="1" applyAlignment="1">
      <alignment vertical="center"/>
    </xf>
    <xf numFmtId="188" fontId="39" fillId="0" borderId="70" xfId="2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188" fontId="35" fillId="0" borderId="14" xfId="2" applyFont="1" applyFill="1" applyBorder="1" applyAlignment="1" applyProtection="1">
      <alignment horizontal="right" vertical="center"/>
    </xf>
    <xf numFmtId="188" fontId="35" fillId="0" borderId="12" xfId="2" applyFont="1" applyFill="1" applyBorder="1" applyAlignment="1" applyProtection="1">
      <alignment horizontal="right" vertical="center"/>
    </xf>
    <xf numFmtId="2" fontId="35" fillId="0" borderId="14" xfId="2" applyNumberFormat="1" applyFont="1" applyFill="1" applyBorder="1" applyAlignment="1" applyProtection="1">
      <alignment horizontal="center" vertical="center"/>
    </xf>
    <xf numFmtId="2" fontId="35" fillId="0" borderId="8" xfId="2" applyNumberFormat="1" applyFont="1" applyFill="1" applyBorder="1" applyAlignment="1" applyProtection="1">
      <alignment horizontal="center" vertical="center"/>
    </xf>
    <xf numFmtId="188" fontId="35" fillId="0" borderId="24" xfId="2" applyFont="1" applyFill="1" applyBorder="1" applyAlignment="1" applyProtection="1">
      <alignment horizontal="center" vertical="center"/>
    </xf>
    <xf numFmtId="188" fontId="35" fillId="0" borderId="16" xfId="2" applyFont="1" applyFill="1" applyBorder="1" applyAlignment="1" applyProtection="1">
      <alignment horizontal="center" vertical="center"/>
    </xf>
    <xf numFmtId="0" fontId="35" fillId="0" borderId="24" xfId="2" applyNumberFormat="1" applyFont="1" applyFill="1" applyBorder="1" applyAlignment="1" applyProtection="1">
      <alignment horizontal="center" vertical="center"/>
    </xf>
    <xf numFmtId="0" fontId="35" fillId="0" borderId="23" xfId="2" applyNumberFormat="1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2" xfId="0" applyFont="1" applyBorder="1" applyAlignment="1">
      <alignment horizontal="center" vertical="center"/>
    </xf>
    <xf numFmtId="0" fontId="34" fillId="0" borderId="21" xfId="0" applyFont="1" applyBorder="1" applyAlignment="1">
      <alignment vertical="center"/>
    </xf>
    <xf numFmtId="0" fontId="34" fillId="0" borderId="122" xfId="0" applyFont="1" applyBorder="1" applyAlignment="1">
      <alignment vertical="center"/>
    </xf>
    <xf numFmtId="0" fontId="35" fillId="0" borderId="21" xfId="2" applyNumberFormat="1" applyFont="1" applyFill="1" applyBorder="1" applyAlignment="1" applyProtection="1">
      <alignment horizontal="center" vertical="center"/>
    </xf>
    <xf numFmtId="0" fontId="35" fillId="0" borderId="11" xfId="2" applyNumberFormat="1" applyFont="1" applyFill="1" applyBorder="1" applyAlignment="1" applyProtection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21" xfId="0" applyFont="1" applyBorder="1" applyAlignment="1">
      <alignment horizontal="center" vertical="center"/>
    </xf>
    <xf numFmtId="188" fontId="35" fillId="0" borderId="10" xfId="2" applyFont="1" applyFill="1" applyBorder="1" applyAlignment="1" applyProtection="1">
      <alignment vertical="center"/>
    </xf>
    <xf numFmtId="188" fontId="35" fillId="0" borderId="5" xfId="2" applyFont="1" applyFill="1" applyBorder="1" applyAlignment="1" applyProtection="1">
      <alignment vertical="center"/>
    </xf>
    <xf numFmtId="189" fontId="35" fillId="0" borderId="10" xfId="2" applyNumberFormat="1" applyFont="1" applyFill="1" applyBorder="1" applyAlignment="1" applyProtection="1">
      <alignment horizontal="center" vertical="center"/>
    </xf>
    <xf numFmtId="189" fontId="35" fillId="0" borderId="2" xfId="2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88" fontId="4" fillId="0" borderId="1" xfId="2" applyFont="1" applyFill="1" applyBorder="1" applyAlignment="1" applyProtection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87" fontId="4" fillId="0" borderId="36" xfId="3" applyFont="1" applyFill="1" applyBorder="1" applyAlignment="1">
      <alignment horizontal="center" vertical="center"/>
    </xf>
    <xf numFmtId="187" fontId="4" fillId="0" borderId="37" xfId="3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5" xfId="11" applyFont="1" applyBorder="1" applyAlignment="1">
      <alignment horizontal="center" vertical="center"/>
    </xf>
    <xf numFmtId="0" fontId="4" fillId="0" borderId="86" xfId="11" applyFont="1" applyBorder="1" applyAlignment="1">
      <alignment horizontal="center" vertical="center"/>
    </xf>
    <xf numFmtId="0" fontId="4" fillId="0" borderId="89" xfId="11" applyFont="1" applyBorder="1" applyAlignment="1">
      <alignment horizontal="center" vertical="center"/>
    </xf>
    <xf numFmtId="0" fontId="4" fillId="0" borderId="0" xfId="11" applyFont="1" applyAlignment="1">
      <alignment vertical="center"/>
    </xf>
    <xf numFmtId="0" fontId="5" fillId="0" borderId="0" xfId="11" applyFont="1" applyAlignment="1">
      <alignment vertical="center"/>
    </xf>
    <xf numFmtId="0" fontId="4" fillId="0" borderId="33" xfId="11" applyFont="1" applyBorder="1" applyAlignment="1">
      <alignment vertical="center"/>
    </xf>
    <xf numFmtId="0" fontId="4" fillId="0" borderId="84" xfId="11" applyFont="1" applyBorder="1" applyAlignment="1">
      <alignment horizontal="center" vertical="center"/>
    </xf>
    <xf numFmtId="0" fontId="4" fillId="0" borderId="87" xfId="11" applyFont="1" applyBorder="1" applyAlignment="1">
      <alignment horizontal="center" vertical="center"/>
    </xf>
    <xf numFmtId="0" fontId="4" fillId="0" borderId="88" xfId="11" applyFont="1" applyBorder="1" applyAlignment="1">
      <alignment horizontal="center" vertical="center"/>
    </xf>
    <xf numFmtId="187" fontId="4" fillId="0" borderId="85" xfId="3" applyFont="1" applyFill="1" applyBorder="1" applyAlignment="1">
      <alignment horizontal="center" vertical="center"/>
    </xf>
    <xf numFmtId="187" fontId="4" fillId="0" borderId="88" xfId="3" applyFont="1" applyFill="1" applyBorder="1" applyAlignment="1">
      <alignment horizontal="center" vertical="center"/>
    </xf>
    <xf numFmtId="0" fontId="29" fillId="0" borderId="0" xfId="8" applyFont="1" applyAlignment="1" applyProtection="1">
      <alignment horizontal="center"/>
      <protection locked="0"/>
    </xf>
    <xf numFmtId="0" fontId="18" fillId="0" borderId="99" xfId="8" applyFont="1" applyBorder="1" applyAlignment="1">
      <alignment horizontal="center" vertical="top"/>
    </xf>
    <xf numFmtId="0" fontId="18" fillId="0" borderId="30" xfId="8" applyFont="1" applyBorder="1" applyAlignment="1">
      <alignment horizontal="center" vertical="top"/>
    </xf>
    <xf numFmtId="0" fontId="18" fillId="0" borderId="97" xfId="8" applyFont="1" applyBorder="1" applyAlignment="1">
      <alignment horizontal="center" vertical="top"/>
    </xf>
    <xf numFmtId="187" fontId="18" fillId="0" borderId="100" xfId="8" applyNumberFormat="1" applyFont="1" applyBorder="1" applyAlignment="1">
      <alignment horizontal="left"/>
    </xf>
    <xf numFmtId="0" fontId="1" fillId="0" borderId="100" xfId="10" applyBorder="1" applyAlignment="1">
      <alignment horizontal="left"/>
    </xf>
    <xf numFmtId="0" fontId="1" fillId="0" borderId="101" xfId="10" applyBorder="1" applyAlignment="1">
      <alignment horizontal="left"/>
    </xf>
    <xf numFmtId="187" fontId="18" fillId="0" borderId="0" xfId="8" applyNumberFormat="1" applyFont="1" applyAlignment="1">
      <alignment horizontal="center"/>
    </xf>
    <xf numFmtId="0" fontId="18" fillId="0" borderId="0" xfId="8" applyFont="1" applyAlignment="1">
      <alignment horizontal="center"/>
    </xf>
    <xf numFmtId="0" fontId="18" fillId="0" borderId="91" xfId="8" applyFont="1" applyBorder="1" applyAlignment="1">
      <alignment horizontal="center"/>
    </xf>
    <xf numFmtId="189" fontId="18" fillId="0" borderId="0" xfId="8" applyNumberFormat="1" applyFont="1" applyAlignment="1">
      <alignment horizontal="center"/>
    </xf>
    <xf numFmtId="189" fontId="18" fillId="0" borderId="91" xfId="8" applyNumberFormat="1" applyFont="1" applyBorder="1" applyAlignment="1">
      <alignment horizontal="center"/>
    </xf>
    <xf numFmtId="189" fontId="18" fillId="0" borderId="98" xfId="8" applyNumberFormat="1" applyFont="1" applyBorder="1" applyAlignment="1">
      <alignment horizontal="center"/>
    </xf>
    <xf numFmtId="189" fontId="18" fillId="0" borderId="102" xfId="8" applyNumberFormat="1" applyFont="1" applyBorder="1" applyAlignment="1">
      <alignment horizontal="center"/>
    </xf>
    <xf numFmtId="0" fontId="18" fillId="0" borderId="99" xfId="8" applyFont="1" applyBorder="1" applyAlignment="1">
      <alignment horizontal="center" vertical="center"/>
    </xf>
    <xf numFmtId="0" fontId="18" fillId="0" borderId="100" xfId="8" applyFont="1" applyBorder="1" applyAlignment="1">
      <alignment horizontal="center" vertical="center"/>
    </xf>
    <xf numFmtId="0" fontId="18" fillId="0" borderId="30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8" fillId="0" borderId="97" xfId="8" applyFont="1" applyBorder="1" applyAlignment="1">
      <alignment horizontal="center" vertical="center"/>
    </xf>
    <xf numFmtId="0" fontId="18" fillId="0" borderId="98" xfId="8" applyFont="1" applyBorder="1" applyAlignment="1">
      <alignment horizontal="center" vertical="center"/>
    </xf>
    <xf numFmtId="0" fontId="26" fillId="0" borderId="100" xfId="8" applyFont="1" applyBorder="1" applyAlignment="1">
      <alignment horizontal="center" vertical="center"/>
    </xf>
    <xf numFmtId="0" fontId="28" fillId="0" borderId="0" xfId="8" applyFont="1" applyAlignment="1">
      <alignment horizontal="center" vertical="center"/>
    </xf>
    <xf numFmtId="0" fontId="28" fillId="0" borderId="98" xfId="8" applyFont="1" applyBorder="1" applyAlignment="1">
      <alignment horizontal="center" vertical="center"/>
    </xf>
    <xf numFmtId="0" fontId="27" fillId="0" borderId="100" xfId="8" applyFont="1" applyBorder="1" applyAlignment="1">
      <alignment horizontal="center" vertical="center"/>
    </xf>
    <xf numFmtId="0" fontId="18" fillId="0" borderId="101" xfId="8" applyFont="1" applyBorder="1" applyAlignment="1">
      <alignment horizontal="center"/>
    </xf>
    <xf numFmtId="0" fontId="18" fillId="0" borderId="102" xfId="8" applyFont="1" applyBorder="1" applyAlignment="1">
      <alignment horizontal="center"/>
    </xf>
    <xf numFmtId="0" fontId="18" fillId="0" borderId="103" xfId="8" applyFont="1" applyBorder="1" applyAlignment="1">
      <alignment horizontal="center"/>
    </xf>
    <xf numFmtId="0" fontId="19" fillId="0" borderId="99" xfId="8" applyFont="1" applyBorder="1" applyAlignment="1">
      <alignment horizontal="center" vertical="center"/>
    </xf>
    <xf numFmtId="0" fontId="19" fillId="0" borderId="100" xfId="8" applyFont="1" applyBorder="1" applyAlignment="1">
      <alignment horizontal="center" vertical="center"/>
    </xf>
    <xf numFmtId="0" fontId="19" fillId="0" borderId="101" xfId="8" applyFont="1" applyBorder="1" applyAlignment="1">
      <alignment horizontal="center" vertical="center"/>
    </xf>
    <xf numFmtId="0" fontId="19" fillId="0" borderId="97" xfId="8" applyFont="1" applyBorder="1" applyAlignment="1">
      <alignment horizontal="center" vertical="center"/>
    </xf>
    <xf numFmtId="0" fontId="19" fillId="0" borderId="98" xfId="8" applyFont="1" applyBorder="1" applyAlignment="1">
      <alignment horizontal="center" vertical="center"/>
    </xf>
    <xf numFmtId="0" fontId="19" fillId="0" borderId="102" xfId="8" applyFont="1" applyBorder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5" fillId="0" borderId="0" xfId="10" applyFont="1" applyAlignment="1" applyProtection="1">
      <alignment horizontal="left"/>
      <protection locked="0"/>
    </xf>
    <xf numFmtId="0" fontId="5" fillId="0" borderId="0" xfId="10" applyFont="1" applyAlignment="1">
      <alignment horizontal="center"/>
    </xf>
    <xf numFmtId="0" fontId="19" fillId="0" borderId="84" xfId="8" applyFont="1" applyBorder="1" applyAlignment="1">
      <alignment horizontal="center" vertical="center"/>
    </xf>
    <xf numFmtId="0" fontId="19" fillId="0" borderId="85" xfId="8" applyFont="1" applyBorder="1" applyAlignment="1">
      <alignment horizontal="center" vertical="center"/>
    </xf>
    <xf numFmtId="0" fontId="19" fillId="0" borderId="87" xfId="8" applyFont="1" applyBorder="1" applyAlignment="1">
      <alignment horizontal="center" vertical="center"/>
    </xf>
    <xf numFmtId="0" fontId="19" fillId="0" borderId="88" xfId="8" applyFont="1" applyBorder="1" applyAlignment="1">
      <alignment horizontal="center" vertical="center"/>
    </xf>
    <xf numFmtId="0" fontId="21" fillId="0" borderId="86" xfId="8" applyFont="1" applyBorder="1" applyAlignment="1">
      <alignment horizontal="center" vertical="center"/>
    </xf>
    <xf numFmtId="0" fontId="21" fillId="0" borderId="89" xfId="8" applyFont="1" applyBorder="1" applyAlignment="1">
      <alignment horizontal="center" vertical="center"/>
    </xf>
    <xf numFmtId="0" fontId="18" fillId="0" borderId="30" xfId="8" applyFont="1" applyBorder="1" applyAlignment="1">
      <alignment horizontal="center"/>
    </xf>
    <xf numFmtId="0" fontId="18" fillId="0" borderId="97" xfId="8" applyFont="1" applyBorder="1" applyAlignment="1">
      <alignment horizontal="center"/>
    </xf>
    <xf numFmtId="0" fontId="18" fillId="0" borderId="0" xfId="8" applyFont="1" applyAlignment="1">
      <alignment horizontal="left"/>
    </xf>
    <xf numFmtId="0" fontId="18" fillId="0" borderId="98" xfId="8" applyFont="1" applyBorder="1" applyAlignment="1">
      <alignment horizontal="left"/>
    </xf>
    <xf numFmtId="0" fontId="5" fillId="0" borderId="4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62" xfId="0" applyFont="1" applyBorder="1" applyAlignment="1">
      <alignment horizontal="right" vertical="center"/>
    </xf>
    <xf numFmtId="0" fontId="4" fillId="0" borderId="83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0" fillId="0" borderId="28" xfId="0" applyFont="1" applyBorder="1"/>
    <xf numFmtId="0" fontId="0" fillId="0" borderId="29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</cellXfs>
  <cellStyles count="13">
    <cellStyle name="0,0_x000d__x000a_NA_x000d__x000a_" xfId="1" xr:uid="{1D144F5E-0C90-4EC0-AD6A-D2EAF7319505}"/>
    <cellStyle name="Comma 2" xfId="3" xr:uid="{92C3D54D-EB20-4BF6-8659-B9F1870028E7}"/>
    <cellStyle name="Comma 3" xfId="9" xr:uid="{B2CE7294-3957-4F6D-8BDF-A70A369803B5}"/>
    <cellStyle name="Comma 4" xfId="12" xr:uid="{AF4C4EFF-BC2D-4725-AE9F-BE6712F6D28C}"/>
    <cellStyle name="Comma 5" xfId="4" xr:uid="{E4804AAC-0D04-46F0-88EE-99FDA8D22C69}"/>
    <cellStyle name="Normal 2" xfId="5" xr:uid="{21457E34-B475-4B2F-BE3C-4772B80C7CD5}"/>
    <cellStyle name="Normal 2 2" xfId="10" xr:uid="{18E5F396-69B8-4865-98F6-3B28409CAE2A}"/>
    <cellStyle name="Normal 3" xfId="11" xr:uid="{17493E5F-0746-4712-B1AC-7549CF2AA889}"/>
    <cellStyle name="เครื่องหมายจุลภาค 2" xfId="6" xr:uid="{D70E39D6-FD5F-4382-8ACD-3E19279D38CB}"/>
    <cellStyle name="จุลภาค" xfId="2" builtinId="3"/>
    <cellStyle name="ปกติ" xfId="0" builtinId="0"/>
    <cellStyle name="ปกติ 2" xfId="7" xr:uid="{A923BFDC-0538-4F4E-B6A1-804729167F65}"/>
    <cellStyle name="ปกติ_ตัวอย่างการคำนวณ FACTOR F" xfId="8" xr:uid="{EA4B300E-1514-4EC4-A67A-7FF00A19D8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22</xdr:row>
      <xdr:rowOff>9525</xdr:rowOff>
    </xdr:from>
    <xdr:to>
      <xdr:col>2</xdr:col>
      <xdr:colOff>0</xdr:colOff>
      <xdr:row>24</xdr:row>
      <xdr:rowOff>38100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B82E9840-F464-40AE-A72B-78D7F06B2578}"/>
            </a:ext>
          </a:extLst>
        </xdr:cNvPr>
        <xdr:cNvSpPr/>
      </xdr:nvSpPr>
      <xdr:spPr>
        <a:xfrm>
          <a:off x="752475" y="5972175"/>
          <a:ext cx="133350" cy="5619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9</xdr:col>
      <xdr:colOff>57150</xdr:colOff>
      <xdr:row>22</xdr:row>
      <xdr:rowOff>28575</xdr:rowOff>
    </xdr:from>
    <xdr:to>
      <xdr:col>9</xdr:col>
      <xdr:colOff>142875</xdr:colOff>
      <xdr:row>24</xdr:row>
      <xdr:rowOff>28575</xdr:rowOff>
    </xdr:to>
    <xdr:sp macro="" textlink="">
      <xdr:nvSpPr>
        <xdr:cNvPr id="3" name="วงเล็บปีกกาขวา 2">
          <a:extLst>
            <a:ext uri="{FF2B5EF4-FFF2-40B4-BE49-F238E27FC236}">
              <a16:creationId xmlns:a16="http://schemas.microsoft.com/office/drawing/2014/main" id="{F7DC15F2-F6D6-4C2C-A6AB-67AAB7D97C05}"/>
            </a:ext>
          </a:extLst>
        </xdr:cNvPr>
        <xdr:cNvSpPr/>
      </xdr:nvSpPr>
      <xdr:spPr>
        <a:xfrm>
          <a:off x="4991100" y="5991225"/>
          <a:ext cx="85725" cy="533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\&#3626;&#3607;&#3629;&#3616;%20&#3624;&#3641;&#3609;&#3618;&#3660;&#3648;&#3607;&#3588;&#3650;&#3609;&#3631;%20&#3604;&#3634;&#3623;&#3648;&#3607;&#3637;&#3618;&#3617;\&#3627;&#3629;&#3614;&#3633;&#3585;%2024%20&#3627;&#3609;&#3656;&#3623;&#3618;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.&#3626;&#3618;.&#3612;&#3592;.&#3626;&#3619;&#3632;&#3649;&#3585;&#3657;&#3623;\0&#3591;&#3634;&#3609;\0%20%20&#3591;&#3634;&#3609;&#3586;&#3629;&#3591;%20&#3626;&#3614;&#3600;\000%20&#3611;&#3619;&#3632;&#3617;&#3634;&#3603;&#3619;&#3634;&#3588;&#3634;%20&#3649;&#3610;&#3610;&#3619;&#3641;&#3611;&#3619;&#3634;&#3618;&#3585;&#3634;&#3619;&#3649;&#3610;&#3610;&#3617;&#3634;&#3605;&#3619;&#3600;&#3634;&#3609;%20(Excel)&#3591;&#3610;&#3611;&#3619;&#3632;&#3617;&#3634;&#3603;%202568\ST68004%20&#3650;&#3619;&#3591;&#3629;&#3634;&#3627;&#3634;&#3619;&#3649;&#3610;&#3610;%20101%20&#3621;._27%20&#3614;&#3636;&#3648;&#3624;&#3625;%20(&#3611;&#3619;&#3633;&#3610;&#3611;&#3619;&#3640;&#3591;&#3594;&#3633;&#3657;&#3609;&#3610;&#3609;&#3648;&#3611;&#3655;&#3609;&#3650;&#3619;&#3591;&#3614;&#3621;&#3624;&#3638;&#3585;&#3625;&#3634;)%20(&#3651;&#3609;&#3648;&#3586;&#3605;&#3649;&#3612;&#3656;&#3609;&#3604;&#3636;&#3609;&#3652;&#3627;&#362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4(ก)"/>
      <sheetName val="ปร.4(ข)"/>
      <sheetName val="ปร.4(พ)"/>
      <sheetName val="ปร.5"/>
      <sheetName val="ปร.6"/>
      <sheetName val="(Factor F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G2">
            <v>10756271.1</v>
          </cell>
        </row>
        <row r="6">
          <cell r="H6">
            <v>1.3090999999999999</v>
          </cell>
        </row>
        <row r="7">
          <cell r="H7">
            <v>1.3067</v>
          </cell>
        </row>
        <row r="8">
          <cell r="H8">
            <v>1.3050999999999999</v>
          </cell>
        </row>
        <row r="9">
          <cell r="H9">
            <v>1.302</v>
          </cell>
        </row>
        <row r="10">
          <cell r="H10">
            <v>1.296</v>
          </cell>
        </row>
        <row r="11">
          <cell r="H11">
            <v>1.2611000000000001</v>
          </cell>
        </row>
        <row r="12">
          <cell r="H12">
            <v>1.2535000000000001</v>
          </cell>
        </row>
        <row r="13">
          <cell r="H13">
            <v>1.2264999999999999</v>
          </cell>
        </row>
        <row r="14">
          <cell r="H14">
            <v>1.2181</v>
          </cell>
        </row>
        <row r="15">
          <cell r="H15">
            <v>1.2177</v>
          </cell>
        </row>
        <row r="16">
          <cell r="H16">
            <v>1.2176</v>
          </cell>
        </row>
        <row r="17">
          <cell r="H17">
            <v>1.2078</v>
          </cell>
        </row>
        <row r="18">
          <cell r="H18">
            <v>1.2067000000000001</v>
          </cell>
        </row>
        <row r="19">
          <cell r="H19">
            <v>1.2067000000000001</v>
          </cell>
        </row>
        <row r="20">
          <cell r="H20">
            <v>1.2065999999999999</v>
          </cell>
        </row>
        <row r="21">
          <cell r="H21">
            <v>1.2065999999999999</v>
          </cell>
        </row>
        <row r="22">
          <cell r="H22">
            <v>1.2039</v>
          </cell>
        </row>
        <row r="23">
          <cell r="H23">
            <v>1.2039</v>
          </cell>
        </row>
        <row r="24">
          <cell r="H24">
            <v>1.2031000000000001</v>
          </cell>
        </row>
        <row r="25">
          <cell r="H25">
            <v>1.1969000000000001</v>
          </cell>
        </row>
        <row r="26">
          <cell r="H26">
            <v>1.1883999999999999</v>
          </cell>
        </row>
        <row r="27">
          <cell r="H27">
            <v>1.1877</v>
          </cell>
        </row>
        <row r="28">
          <cell r="H28">
            <v>1.1871</v>
          </cell>
        </row>
        <row r="29">
          <cell r="H29">
            <v>1.1805000000000001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D8DF-568A-4C7E-9E0F-316C9C6B3289}">
  <sheetPr>
    <tabColor indexed="24"/>
  </sheetPr>
  <dimension ref="A1:T34"/>
  <sheetViews>
    <sheetView view="pageBreakPreview" zoomScale="110" zoomScaleNormal="130" zoomScaleSheetLayoutView="110" workbookViewId="0">
      <selection activeCell="K12" sqref="K12"/>
    </sheetView>
  </sheetViews>
  <sheetFormatPr defaultColWidth="9.140625" defaultRowHeight="21.95" customHeight="1" x14ac:dyDescent="0.2"/>
  <cols>
    <col min="1" max="1" width="8.7109375" style="16" customWidth="1"/>
    <col min="2" max="2" width="18.7109375" style="16" customWidth="1"/>
    <col min="3" max="3" width="8.7109375" style="16" customWidth="1"/>
    <col min="4" max="4" width="7" style="16" customWidth="1"/>
    <col min="5" max="6" width="9.7109375" style="16" customWidth="1"/>
    <col min="7" max="8" width="4.7109375" style="16" customWidth="1"/>
    <col min="9" max="9" width="18.7109375" style="16" customWidth="1"/>
    <col min="10" max="10" width="12.42578125" style="16" customWidth="1"/>
    <col min="11" max="11" width="17.5703125" style="16" customWidth="1"/>
    <col min="12" max="12" width="9.140625" style="16"/>
    <col min="13" max="13" width="17.7109375" style="16" customWidth="1"/>
    <col min="14" max="14" width="31" style="188" customWidth="1"/>
    <col min="15" max="15" width="9.140625" style="16"/>
    <col min="16" max="16" width="16.7109375" style="16" customWidth="1"/>
    <col min="17" max="17" width="25.85546875" style="188" customWidth="1"/>
    <col min="18" max="16384" width="9.140625" style="16"/>
  </cols>
  <sheetData>
    <row r="1" spans="1:20" ht="21.95" customHeight="1" x14ac:dyDescent="0.5">
      <c r="I1" s="6"/>
      <c r="J1" s="107" t="s">
        <v>75</v>
      </c>
      <c r="L1" s="10"/>
      <c r="M1" s="11"/>
      <c r="N1" s="12"/>
      <c r="O1" s="10"/>
      <c r="P1" s="11"/>
      <c r="Q1" s="12"/>
      <c r="R1" s="10"/>
      <c r="S1" s="10"/>
      <c r="T1" s="10"/>
    </row>
    <row r="2" spans="1:20" s="283" customFormat="1" ht="27.95" customHeight="1" x14ac:dyDescent="0.7">
      <c r="A2" s="539" t="s">
        <v>2</v>
      </c>
      <c r="B2" s="539"/>
      <c r="C2" s="539"/>
      <c r="D2" s="539"/>
      <c r="E2" s="539"/>
      <c r="F2" s="539"/>
      <c r="G2" s="539"/>
      <c r="H2" s="539"/>
      <c r="I2" s="539"/>
      <c r="J2" s="539"/>
      <c r="L2" s="284"/>
      <c r="M2" s="285"/>
      <c r="N2" s="286"/>
      <c r="O2" s="284"/>
      <c r="P2" s="285"/>
      <c r="Q2" s="286"/>
      <c r="R2" s="284"/>
      <c r="S2" s="284"/>
      <c r="T2" s="284"/>
    </row>
    <row r="3" spans="1:20" ht="21.95" customHeight="1" x14ac:dyDescent="0.5">
      <c r="A3" s="541" t="s">
        <v>561</v>
      </c>
      <c r="B3" s="541"/>
      <c r="C3" s="541"/>
      <c r="D3" s="541"/>
      <c r="E3" s="541"/>
      <c r="F3" s="541"/>
      <c r="G3" s="541"/>
      <c r="H3" s="541"/>
      <c r="I3" s="541"/>
      <c r="J3" s="541"/>
      <c r="L3" s="10"/>
      <c r="M3" s="13"/>
      <c r="N3" s="14"/>
      <c r="O3" s="10"/>
      <c r="P3" s="13"/>
      <c r="Q3" s="14"/>
      <c r="R3" s="10"/>
      <c r="S3" s="10"/>
      <c r="T3" s="10"/>
    </row>
    <row r="4" spans="1:20" ht="21.95" customHeight="1" x14ac:dyDescent="0.5">
      <c r="A4" s="541" t="s">
        <v>567</v>
      </c>
      <c r="B4" s="541"/>
      <c r="C4" s="541"/>
      <c r="D4" s="541"/>
      <c r="E4" s="541"/>
      <c r="F4" s="541"/>
      <c r="G4" s="541"/>
      <c r="H4" s="541"/>
      <c r="I4" s="541"/>
      <c r="J4" s="541"/>
      <c r="L4" s="10"/>
      <c r="M4" s="13"/>
      <c r="N4" s="14"/>
      <c r="O4" s="10"/>
      <c r="P4" s="13"/>
      <c r="Q4" s="14"/>
      <c r="R4" s="10"/>
      <c r="S4" s="10"/>
      <c r="T4" s="10"/>
    </row>
    <row r="5" spans="1:20" ht="21.95" customHeight="1" x14ac:dyDescent="0.5">
      <c r="A5" s="541" t="s">
        <v>556</v>
      </c>
      <c r="B5" s="541"/>
      <c r="C5" s="541"/>
      <c r="D5" s="541"/>
      <c r="E5" s="541"/>
      <c r="F5" s="541"/>
      <c r="G5" s="541"/>
      <c r="H5" s="541"/>
      <c r="I5" s="541"/>
      <c r="J5" s="541"/>
      <c r="L5" s="10"/>
      <c r="M5" s="13"/>
      <c r="N5" s="14"/>
      <c r="O5" s="10"/>
      <c r="P5" s="13"/>
      <c r="Q5" s="14"/>
      <c r="R5" s="10"/>
      <c r="S5" s="10"/>
      <c r="T5" s="10"/>
    </row>
    <row r="6" spans="1:20" ht="21.95" customHeight="1" x14ac:dyDescent="0.5">
      <c r="A6" s="6" t="s">
        <v>17</v>
      </c>
      <c r="B6" s="6"/>
      <c r="C6" s="16" t="s">
        <v>549</v>
      </c>
      <c r="D6" s="6"/>
      <c r="E6" s="6"/>
      <c r="F6" s="6"/>
      <c r="G6" s="6"/>
      <c r="H6" s="6"/>
      <c r="I6" s="6"/>
      <c r="J6" s="6"/>
      <c r="L6" s="10"/>
      <c r="M6" s="13"/>
      <c r="N6" s="14"/>
      <c r="O6" s="10"/>
      <c r="P6" s="13"/>
      <c r="Q6" s="14"/>
      <c r="R6" s="10"/>
      <c r="S6" s="10"/>
      <c r="T6" s="10"/>
    </row>
    <row r="7" spans="1:20" ht="21.95" customHeight="1" x14ac:dyDescent="0.5">
      <c r="A7" s="541" t="s">
        <v>587</v>
      </c>
      <c r="B7" s="541"/>
      <c r="C7" s="541"/>
      <c r="D7" s="541"/>
      <c r="E7" s="541"/>
      <c r="F7" s="541"/>
      <c r="G7" s="541"/>
      <c r="H7" s="541"/>
      <c r="I7" s="541"/>
      <c r="J7" s="541"/>
      <c r="L7" s="10"/>
      <c r="M7" s="13"/>
      <c r="N7" s="15"/>
      <c r="O7" s="10"/>
      <c r="P7" s="13"/>
      <c r="Q7" s="15"/>
      <c r="R7" s="10"/>
      <c r="S7" s="10"/>
      <c r="T7" s="10"/>
    </row>
    <row r="8" spans="1:20" ht="21.95" customHeight="1" x14ac:dyDescent="0.5">
      <c r="A8" s="541" t="s">
        <v>566</v>
      </c>
      <c r="B8" s="541"/>
      <c r="C8" s="541"/>
      <c r="D8" s="541"/>
      <c r="E8" s="541"/>
      <c r="F8" s="541"/>
      <c r="G8" s="541"/>
      <c r="H8" s="541"/>
      <c r="I8" s="541"/>
      <c r="J8" s="541"/>
      <c r="L8" s="10"/>
      <c r="M8" s="13"/>
      <c r="N8" s="15"/>
      <c r="O8" s="10"/>
      <c r="P8" s="13"/>
      <c r="Q8" s="15"/>
      <c r="R8" s="10"/>
      <c r="S8" s="10"/>
      <c r="T8" s="10"/>
    </row>
    <row r="9" spans="1:20" ht="21.95" customHeight="1" x14ac:dyDescent="0.5">
      <c r="A9" s="541" t="s">
        <v>548</v>
      </c>
      <c r="B9" s="541"/>
      <c r="C9" s="541"/>
      <c r="D9" s="541"/>
      <c r="E9" s="541"/>
      <c r="F9" s="541"/>
      <c r="G9" s="541"/>
      <c r="H9" s="541"/>
      <c r="I9" s="541"/>
      <c r="J9" s="541"/>
      <c r="L9" s="10"/>
      <c r="M9" s="13"/>
      <c r="N9" s="15"/>
      <c r="O9" s="10"/>
      <c r="P9" s="13"/>
      <c r="Q9" s="15"/>
      <c r="R9" s="10"/>
      <c r="S9" s="10"/>
      <c r="T9" s="10"/>
    </row>
    <row r="10" spans="1:20" s="10" customFormat="1" ht="21.95" customHeight="1" thickBot="1" x14ac:dyDescent="0.55000000000000004">
      <c r="A10" s="87" t="s">
        <v>550</v>
      </c>
      <c r="B10" s="87"/>
      <c r="C10" s="89"/>
      <c r="D10" s="87"/>
      <c r="E10" s="87"/>
      <c r="F10" s="87"/>
      <c r="G10" s="87"/>
      <c r="H10" s="87"/>
      <c r="I10" s="87"/>
      <c r="J10" s="87"/>
    </row>
    <row r="11" spans="1:20" ht="21.95" customHeight="1" thickBot="1" x14ac:dyDescent="0.55000000000000004">
      <c r="A11" s="522" t="s">
        <v>3</v>
      </c>
      <c r="B11" s="522" t="s">
        <v>4</v>
      </c>
      <c r="C11" s="522"/>
      <c r="D11" s="522"/>
      <c r="E11" s="524" t="s">
        <v>5</v>
      </c>
      <c r="F11" s="524"/>
      <c r="G11" s="522" t="s">
        <v>6</v>
      </c>
      <c r="H11" s="522"/>
      <c r="I11" s="3" t="s">
        <v>7</v>
      </c>
      <c r="J11" s="540" t="s">
        <v>8</v>
      </c>
      <c r="L11" s="10"/>
      <c r="M11" s="13"/>
      <c r="N11" s="15"/>
      <c r="O11" s="10"/>
      <c r="P11" s="13"/>
      <c r="Q11" s="15"/>
      <c r="R11" s="10"/>
      <c r="S11" s="10"/>
      <c r="T11" s="10"/>
    </row>
    <row r="12" spans="1:20" ht="21.95" customHeight="1" thickBot="1" x14ac:dyDescent="0.55000000000000004">
      <c r="A12" s="522"/>
      <c r="B12" s="522"/>
      <c r="C12" s="522"/>
      <c r="D12" s="522"/>
      <c r="E12" s="531" t="s">
        <v>76</v>
      </c>
      <c r="F12" s="531"/>
      <c r="G12" s="522"/>
      <c r="H12" s="522"/>
      <c r="I12" s="4" t="s">
        <v>77</v>
      </c>
      <c r="J12" s="540"/>
      <c r="L12" s="10"/>
      <c r="M12" s="13"/>
      <c r="N12" s="15"/>
      <c r="O12" s="10"/>
      <c r="P12" s="13"/>
      <c r="Q12" s="15"/>
      <c r="R12" s="10"/>
      <c r="S12" s="10"/>
      <c r="T12" s="10"/>
    </row>
    <row r="13" spans="1:20" ht="21.95" customHeight="1" x14ac:dyDescent="0.5">
      <c r="A13" s="2">
        <v>1</v>
      </c>
      <c r="B13" s="5" t="s">
        <v>9</v>
      </c>
      <c r="C13" s="17"/>
      <c r="D13" s="18"/>
      <c r="E13" s="527">
        <f>รวมราคา!J15</f>
        <v>21232167.319750115</v>
      </c>
      <c r="F13" s="527"/>
      <c r="G13" s="521">
        <f>M13</f>
        <v>1.2261</v>
      </c>
      <c r="H13" s="521"/>
      <c r="I13" s="280">
        <f>E13*G13</f>
        <v>26032760.350745615</v>
      </c>
      <c r="J13" s="33"/>
      <c r="L13" s="10"/>
      <c r="M13" s="432">
        <v>1.2261</v>
      </c>
      <c r="N13" s="15"/>
      <c r="O13" s="10"/>
      <c r="P13" s="13"/>
      <c r="Q13" s="15"/>
      <c r="R13" s="10"/>
      <c r="S13" s="10"/>
      <c r="T13" s="10"/>
    </row>
    <row r="14" spans="1:20" ht="21.95" customHeight="1" x14ac:dyDescent="0.5">
      <c r="A14" s="20">
        <v>2</v>
      </c>
      <c r="B14" s="304" t="s">
        <v>467</v>
      </c>
      <c r="C14" s="22"/>
      <c r="D14" s="23"/>
      <c r="E14" s="526">
        <f>รวมราคา!J18</f>
        <v>3115740</v>
      </c>
      <c r="F14" s="526"/>
      <c r="G14" s="525">
        <f>M13</f>
        <v>1.2261</v>
      </c>
      <c r="H14" s="525"/>
      <c r="I14" s="281">
        <f>E14*G14</f>
        <v>3820208.8139999998</v>
      </c>
      <c r="J14" s="266"/>
      <c r="L14" s="10"/>
      <c r="M14" s="13"/>
      <c r="N14" s="15"/>
      <c r="O14" s="10"/>
      <c r="P14" s="13"/>
      <c r="Q14" s="15"/>
      <c r="R14" s="10"/>
      <c r="S14" s="10"/>
      <c r="T14" s="10"/>
    </row>
    <row r="15" spans="1:20" ht="21.95" customHeight="1" x14ac:dyDescent="0.5">
      <c r="A15" s="20">
        <v>3</v>
      </c>
      <c r="B15" s="304" t="s">
        <v>468</v>
      </c>
      <c r="C15" s="22"/>
      <c r="D15" s="23"/>
      <c r="E15" s="526">
        <f>รวมราคา!J19</f>
        <v>1826321</v>
      </c>
      <c r="F15" s="526"/>
      <c r="G15" s="525">
        <f>M13</f>
        <v>1.2261</v>
      </c>
      <c r="H15" s="525"/>
      <c r="I15" s="281">
        <f>E15*G15</f>
        <v>2239252.1781000001</v>
      </c>
      <c r="J15" s="267"/>
      <c r="L15" s="10"/>
      <c r="M15" s="13"/>
      <c r="N15" s="15"/>
      <c r="O15" s="10"/>
      <c r="P15" s="13"/>
      <c r="Q15" s="15"/>
      <c r="R15" s="10"/>
      <c r="S15" s="10"/>
      <c r="T15" s="10"/>
    </row>
    <row r="16" spans="1:20" ht="21.95" customHeight="1" x14ac:dyDescent="0.5">
      <c r="A16" s="20">
        <v>4</v>
      </c>
      <c r="B16" s="21" t="s">
        <v>442</v>
      </c>
      <c r="C16" s="22"/>
      <c r="D16" s="23"/>
      <c r="E16" s="529">
        <f>รวมราคา!J26</f>
        <v>2549000</v>
      </c>
      <c r="F16" s="529"/>
      <c r="G16" s="530">
        <v>1.07</v>
      </c>
      <c r="H16" s="530"/>
      <c r="I16" s="281">
        <f>E16*G16</f>
        <v>2727430</v>
      </c>
      <c r="J16" s="267"/>
      <c r="L16" s="10"/>
      <c r="M16" s="13"/>
      <c r="N16" s="15"/>
      <c r="O16" s="10"/>
      <c r="P16" s="13"/>
      <c r="Q16" s="15"/>
      <c r="R16" s="10"/>
      <c r="S16" s="10"/>
      <c r="T16" s="10"/>
    </row>
    <row r="17" spans="1:20" ht="21.95" customHeight="1" thickBot="1" x14ac:dyDescent="0.55000000000000004">
      <c r="A17" s="25"/>
      <c r="B17" s="8"/>
      <c r="C17" s="26"/>
      <c r="D17" s="7"/>
      <c r="E17" s="526"/>
      <c r="F17" s="526"/>
      <c r="G17" s="525"/>
      <c r="H17" s="525"/>
      <c r="I17" s="24"/>
      <c r="J17" s="27"/>
      <c r="L17" s="10"/>
      <c r="M17" s="10"/>
      <c r="N17" s="15"/>
      <c r="O17" s="10"/>
      <c r="P17" s="10"/>
      <c r="Q17" s="15"/>
      <c r="R17" s="10"/>
      <c r="S17" s="10"/>
      <c r="T17" s="10"/>
    </row>
    <row r="18" spans="1:20" ht="21.95" customHeight="1" x14ac:dyDescent="0.5">
      <c r="A18" s="25"/>
      <c r="B18" s="528" t="s">
        <v>10</v>
      </c>
      <c r="C18" s="528"/>
      <c r="D18" s="528"/>
      <c r="E18" s="523"/>
      <c r="F18" s="523"/>
      <c r="G18" s="525"/>
      <c r="H18" s="525"/>
      <c r="I18" s="9"/>
      <c r="J18" s="27"/>
      <c r="L18" s="10"/>
      <c r="M18" s="10"/>
      <c r="N18" s="15"/>
      <c r="O18" s="10"/>
      <c r="P18" s="10"/>
      <c r="Q18" s="15"/>
      <c r="R18" s="10"/>
      <c r="S18" s="10"/>
      <c r="T18" s="10"/>
    </row>
    <row r="19" spans="1:20" ht="21.95" customHeight="1" x14ac:dyDescent="0.5">
      <c r="A19" s="25"/>
      <c r="B19" s="28" t="s">
        <v>11</v>
      </c>
      <c r="C19" s="29"/>
      <c r="D19" s="30">
        <v>0</v>
      </c>
      <c r="E19" s="523"/>
      <c r="F19" s="523"/>
      <c r="G19" s="525"/>
      <c r="H19" s="525"/>
      <c r="I19" s="9"/>
      <c r="J19" s="27"/>
      <c r="L19" s="10"/>
      <c r="M19" s="10"/>
      <c r="N19" s="15"/>
      <c r="O19" s="10"/>
      <c r="P19" s="10"/>
      <c r="Q19" s="15"/>
      <c r="R19" s="10"/>
      <c r="S19" s="10"/>
      <c r="T19" s="10"/>
    </row>
    <row r="20" spans="1:20" ht="21.95" customHeight="1" x14ac:dyDescent="0.5">
      <c r="A20" s="25"/>
      <c r="B20" s="28" t="s">
        <v>78</v>
      </c>
      <c r="C20" s="29"/>
      <c r="D20" s="30">
        <v>0</v>
      </c>
      <c r="E20" s="523"/>
      <c r="F20" s="523"/>
      <c r="G20" s="525"/>
      <c r="H20" s="525"/>
      <c r="I20" s="9"/>
      <c r="J20" s="27"/>
      <c r="L20" s="10"/>
      <c r="M20" s="10"/>
      <c r="N20" s="15"/>
      <c r="O20" s="10"/>
      <c r="P20" s="10"/>
      <c r="Q20" s="15"/>
      <c r="R20" s="10"/>
      <c r="S20" s="10"/>
      <c r="T20" s="10"/>
    </row>
    <row r="21" spans="1:20" ht="21.95" customHeight="1" x14ac:dyDescent="0.5">
      <c r="A21" s="25"/>
      <c r="B21" s="28" t="s">
        <v>79</v>
      </c>
      <c r="C21" s="29"/>
      <c r="D21" s="30">
        <v>7.0000000000000007E-2</v>
      </c>
      <c r="E21" s="523"/>
      <c r="F21" s="523"/>
      <c r="G21" s="525"/>
      <c r="H21" s="525"/>
      <c r="I21" s="9"/>
      <c r="J21" s="27"/>
      <c r="L21" s="10"/>
      <c r="M21" s="10"/>
      <c r="N21" s="15"/>
      <c r="O21" s="10"/>
      <c r="P21" s="10"/>
      <c r="Q21" s="15"/>
      <c r="R21" s="10"/>
      <c r="S21" s="10"/>
      <c r="T21" s="10"/>
    </row>
    <row r="22" spans="1:20" ht="21.95" customHeight="1" thickBot="1" x14ac:dyDescent="0.55000000000000004">
      <c r="A22" s="25"/>
      <c r="B22" s="31" t="s">
        <v>80</v>
      </c>
      <c r="C22" s="32"/>
      <c r="D22" s="30">
        <v>7.0000000000000007E-2</v>
      </c>
      <c r="E22" s="523"/>
      <c r="F22" s="523"/>
      <c r="G22" s="534"/>
      <c r="H22" s="535"/>
      <c r="I22" s="9"/>
      <c r="J22" s="27"/>
      <c r="L22" s="10"/>
      <c r="M22" s="10"/>
      <c r="N22" s="15"/>
      <c r="O22" s="10"/>
      <c r="P22" s="10"/>
      <c r="Q22" s="15"/>
      <c r="R22" s="10"/>
      <c r="S22" s="10"/>
      <c r="T22" s="10"/>
    </row>
    <row r="23" spans="1:20" ht="21.95" customHeight="1" x14ac:dyDescent="0.5">
      <c r="A23" s="524" t="s">
        <v>12</v>
      </c>
      <c r="B23" s="542" t="s">
        <v>13</v>
      </c>
      <c r="C23" s="543"/>
      <c r="D23" s="543"/>
      <c r="E23" s="543"/>
      <c r="F23" s="543"/>
      <c r="G23" s="543"/>
      <c r="H23" s="544"/>
      <c r="I23" s="19">
        <f>SUM(I13:I22)</f>
        <v>34819651.342845619</v>
      </c>
      <c r="J23" s="33"/>
      <c r="L23" s="10"/>
      <c r="M23" s="10"/>
      <c r="N23" s="15"/>
      <c r="O23" s="10"/>
      <c r="P23" s="10"/>
      <c r="Q23" s="15"/>
      <c r="R23" s="10"/>
      <c r="S23" s="10"/>
      <c r="T23" s="10"/>
    </row>
    <row r="24" spans="1:20" ht="21.95" customHeight="1" thickBot="1" x14ac:dyDescent="0.55000000000000004">
      <c r="A24" s="531"/>
      <c r="B24" s="282" t="s">
        <v>1</v>
      </c>
      <c r="C24" s="532" t="str">
        <f>BAHTTEXT(I24)</f>
        <v>สามสิบสี่ล้านแปดแสนหนึ่งหมื่นเก้าพันบาทถ้วน</v>
      </c>
      <c r="D24" s="532"/>
      <c r="E24" s="532"/>
      <c r="F24" s="532"/>
      <c r="G24" s="532"/>
      <c r="H24" s="533"/>
      <c r="I24" s="436">
        <v>34819000</v>
      </c>
      <c r="J24" s="7"/>
      <c r="K24" s="303"/>
      <c r="L24" s="10"/>
      <c r="M24" s="10"/>
      <c r="N24" s="15"/>
      <c r="O24" s="10"/>
      <c r="P24" s="10"/>
      <c r="Q24" s="15"/>
      <c r="R24" s="10"/>
      <c r="S24" s="10"/>
      <c r="T24" s="10"/>
    </row>
    <row r="25" spans="1:20" ht="21.95" customHeight="1" x14ac:dyDescent="0.5">
      <c r="A25" s="35"/>
      <c r="B25" s="36" t="s">
        <v>14</v>
      </c>
      <c r="C25" s="537">
        <v>2650</v>
      </c>
      <c r="D25" s="537"/>
      <c r="E25" s="537"/>
      <c r="F25" s="36" t="s">
        <v>81</v>
      </c>
      <c r="G25" s="36"/>
      <c r="H25" s="36"/>
      <c r="I25" s="36"/>
      <c r="J25" s="33"/>
      <c r="L25" s="10"/>
      <c r="M25" s="10"/>
      <c r="N25" s="15"/>
      <c r="O25" s="10"/>
      <c r="P25" s="10"/>
      <c r="Q25" s="15"/>
      <c r="R25" s="10"/>
      <c r="S25" s="10"/>
      <c r="T25" s="10"/>
    </row>
    <row r="26" spans="1:20" ht="21.95" customHeight="1" thickBot="1" x14ac:dyDescent="0.55000000000000004">
      <c r="A26" s="8" t="s">
        <v>15</v>
      </c>
      <c r="B26" s="26" t="s">
        <v>16</v>
      </c>
      <c r="C26" s="538">
        <f>I13/C25</f>
        <v>9823.6831512247609</v>
      </c>
      <c r="D26" s="538"/>
      <c r="E26" s="538"/>
      <c r="F26" s="26" t="s">
        <v>82</v>
      </c>
      <c r="G26" s="26"/>
      <c r="H26" s="26"/>
      <c r="I26" s="26"/>
      <c r="J26" s="7"/>
      <c r="K26" s="303"/>
      <c r="L26" s="10"/>
      <c r="M26" s="13"/>
      <c r="N26" s="15"/>
      <c r="O26" s="10"/>
      <c r="P26" s="13"/>
      <c r="Q26" s="15"/>
      <c r="R26" s="10"/>
      <c r="S26" s="10"/>
      <c r="T26" s="10"/>
    </row>
    <row r="29" spans="1:20" ht="21.95" customHeight="1" x14ac:dyDescent="0.2">
      <c r="F29" s="536"/>
      <c r="G29" s="536"/>
      <c r="H29" s="536"/>
    </row>
    <row r="31" spans="1:20" ht="21.95" customHeight="1" x14ac:dyDescent="0.2">
      <c r="I31" s="37"/>
    </row>
    <row r="34" spans="1:1" ht="21.95" customHeight="1" x14ac:dyDescent="0.2">
      <c r="A34" s="108"/>
    </row>
  </sheetData>
  <mergeCells count="40">
    <mergeCell ref="F29:H29"/>
    <mergeCell ref="C25:E25"/>
    <mergeCell ref="C26:E26"/>
    <mergeCell ref="A2:J2"/>
    <mergeCell ref="J11:J12"/>
    <mergeCell ref="E12:F12"/>
    <mergeCell ref="G11:H12"/>
    <mergeCell ref="B11:D12"/>
    <mergeCell ref="A9:J9"/>
    <mergeCell ref="A3:J3"/>
    <mergeCell ref="A4:J4"/>
    <mergeCell ref="A5:J5"/>
    <mergeCell ref="A7:J7"/>
    <mergeCell ref="A8:J8"/>
    <mergeCell ref="B23:H23"/>
    <mergeCell ref="E14:F14"/>
    <mergeCell ref="E22:F22"/>
    <mergeCell ref="A23:A24"/>
    <mergeCell ref="C24:H24"/>
    <mergeCell ref="E17:F17"/>
    <mergeCell ref="G17:H17"/>
    <mergeCell ref="G19:H19"/>
    <mergeCell ref="G20:H20"/>
    <mergeCell ref="E21:F21"/>
    <mergeCell ref="G22:H22"/>
    <mergeCell ref="G21:H21"/>
    <mergeCell ref="E20:F20"/>
    <mergeCell ref="G13:H13"/>
    <mergeCell ref="A11:A12"/>
    <mergeCell ref="E19:F19"/>
    <mergeCell ref="E11:F11"/>
    <mergeCell ref="G14:H14"/>
    <mergeCell ref="E15:F15"/>
    <mergeCell ref="G15:H15"/>
    <mergeCell ref="E13:F13"/>
    <mergeCell ref="B18:D18"/>
    <mergeCell ref="E18:F18"/>
    <mergeCell ref="G18:H18"/>
    <mergeCell ref="E16:F16"/>
    <mergeCell ref="G16:H16"/>
  </mergeCells>
  <phoneticPr fontId="0" type="noConversion"/>
  <pageMargins left="0.23622047244094491" right="0" top="0.59055118110236227" bottom="0" header="0.31496062992125984" footer="0.31496062992125984"/>
  <pageSetup paperSize="9" scale="98" firstPageNumber="0" orientation="portrait" r:id="rId1"/>
  <headerFooter differentOddEven="1"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2C86-2A3D-43C6-BB9A-39B5E0DFFE25}">
  <sheetPr>
    <tabColor rgb="FFFF0000"/>
  </sheetPr>
  <dimension ref="A1:M25"/>
  <sheetViews>
    <sheetView zoomScaleNormal="100" zoomScaleSheetLayoutView="145" workbookViewId="0">
      <selection activeCell="C9" sqref="C9:C10"/>
    </sheetView>
  </sheetViews>
  <sheetFormatPr defaultColWidth="9.140625" defaultRowHeight="26.1" customHeight="1" x14ac:dyDescent="0.2"/>
  <cols>
    <col min="1" max="1" width="10.7109375" style="447" customWidth="1"/>
    <col min="2" max="2" width="10.7109375" style="437" customWidth="1"/>
    <col min="3" max="3" width="60.7109375" style="447" customWidth="1"/>
    <col min="4" max="4" width="12.7109375" style="134" customWidth="1"/>
    <col min="5" max="5" width="10.7109375" style="447" customWidth="1"/>
    <col min="6" max="6" width="13.7109375" style="447" customWidth="1"/>
    <col min="7" max="7" width="15.7109375" style="447" customWidth="1"/>
    <col min="8" max="8" width="13.7109375" style="447" customWidth="1"/>
    <col min="9" max="10" width="15.7109375" style="447" customWidth="1"/>
    <col min="11" max="11" width="13.7109375" style="447" customWidth="1"/>
    <col min="12" max="13" width="12.7109375" style="437" customWidth="1"/>
    <col min="14" max="16384" width="9.140625" style="447"/>
  </cols>
  <sheetData>
    <row r="1" spans="1:13" s="6" customFormat="1" ht="26.1" customHeight="1" x14ac:dyDescent="0.2">
      <c r="A1" s="6" t="str">
        <f>รวมราคา!A1</f>
        <v xml:space="preserve">ประมาณราคาค่าก่อสร้าง </v>
      </c>
      <c r="C1" s="88" t="str">
        <f>รวมราคา!C1</f>
        <v>อาคารที่พักอาศัย (แฟลต) จำนวน 40 ครอบครัว สูง 5 ชั้น (ใต้ถุนโล่ง)</v>
      </c>
      <c r="J1" s="447" t="str">
        <f>รวมราคา!J1</f>
        <v>แบบ ปร.4   แผ่นที่</v>
      </c>
      <c r="K1" s="88">
        <v>19</v>
      </c>
      <c r="L1" s="107"/>
      <c r="M1" s="107"/>
    </row>
    <row r="2" spans="1:13" s="6" customFormat="1" ht="26.1" customHeight="1" x14ac:dyDescent="0.2">
      <c r="A2" s="6" t="str">
        <f>รวมราคา!A2</f>
        <v xml:space="preserve">สถานที่ก่อสร้าง  </v>
      </c>
      <c r="C2" s="447" t="str">
        <f>รวมราคา!C2</f>
        <v>บก.ตชก.ภาค 2 ถ.หลังศูนย์ราชการ ต.ในเมือง อ.เมือง จ.ขอนแก่น</v>
      </c>
      <c r="G2" s="6" t="str">
        <f>รวมราคา!G2</f>
        <v xml:space="preserve">แบบเลขที่ </v>
      </c>
      <c r="H2" s="447" t="s">
        <v>568</v>
      </c>
      <c r="L2" s="107"/>
      <c r="M2" s="107"/>
    </row>
    <row r="3" spans="1:13" s="38" customFormat="1" ht="26.1" customHeight="1" x14ac:dyDescent="0.5">
      <c r="A3" s="6" t="str">
        <f>รวมราคา!A3</f>
        <v xml:space="preserve">ฝ่ายประมาณราคา   </v>
      </c>
      <c r="B3" s="6"/>
      <c r="C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D3" s="6"/>
      <c r="E3" s="6"/>
      <c r="F3" s="6"/>
      <c r="G3" s="6" t="str">
        <f>รวมราคา!G3</f>
        <v>กำหนดราคากลางเมื่อ</v>
      </c>
      <c r="H3" s="447"/>
      <c r="I3" s="6"/>
      <c r="J3" s="6"/>
      <c r="K3" s="6"/>
      <c r="L3" s="271"/>
      <c r="M3" s="271"/>
    </row>
    <row r="4" spans="1:13" s="38" customFormat="1" ht="26.1" customHeight="1" thickBot="1" x14ac:dyDescent="0.55000000000000004">
      <c r="A4" s="87" t="str">
        <f>รวมราคา!A4</f>
        <v xml:space="preserve">ประมาณราคาโดย  </v>
      </c>
      <c r="B4" s="87"/>
      <c r="C4" s="89">
        <f>รวมราคา!C4</f>
        <v>0</v>
      </c>
      <c r="D4" s="87"/>
      <c r="E4" s="87"/>
      <c r="F4" s="87"/>
      <c r="G4" s="87"/>
      <c r="H4" s="87"/>
      <c r="I4" s="87"/>
      <c r="J4" s="87"/>
      <c r="L4" s="271"/>
      <c r="M4" s="271"/>
    </row>
    <row r="5" spans="1:13" s="6" customFormat="1" ht="26.1" customHeight="1" thickBot="1" x14ac:dyDescent="0.25">
      <c r="A5" s="605" t="s">
        <v>3</v>
      </c>
      <c r="B5" s="610" t="s">
        <v>4</v>
      </c>
      <c r="C5" s="607"/>
      <c r="D5" s="612" t="s">
        <v>18</v>
      </c>
      <c r="E5" s="609" t="s">
        <v>19</v>
      </c>
      <c r="F5" s="594" t="s">
        <v>20</v>
      </c>
      <c r="G5" s="597"/>
      <c r="H5" s="594" t="s">
        <v>21</v>
      </c>
      <c r="I5" s="597"/>
      <c r="J5" s="442" t="s">
        <v>22</v>
      </c>
      <c r="K5" s="607" t="s">
        <v>8</v>
      </c>
      <c r="L5" s="107"/>
      <c r="M5" s="107"/>
    </row>
    <row r="6" spans="1:13" s="6" customFormat="1" ht="26.1" customHeight="1" thickBot="1" x14ac:dyDescent="0.25">
      <c r="A6" s="606"/>
      <c r="B6" s="611"/>
      <c r="C6" s="608"/>
      <c r="D6" s="613"/>
      <c r="E6" s="614"/>
      <c r="F6" s="116" t="s">
        <v>23</v>
      </c>
      <c r="G6" s="444" t="s">
        <v>24</v>
      </c>
      <c r="H6" s="116" t="s">
        <v>23</v>
      </c>
      <c r="I6" s="116" t="s">
        <v>24</v>
      </c>
      <c r="J6" s="443" t="s">
        <v>25</v>
      </c>
      <c r="K6" s="608"/>
      <c r="L6" s="107"/>
      <c r="M6" s="107"/>
    </row>
    <row r="7" spans="1:13" s="6" customFormat="1" ht="26.1" customHeight="1" x14ac:dyDescent="0.2">
      <c r="A7" s="442">
        <v>7</v>
      </c>
      <c r="B7" s="619" t="s">
        <v>158</v>
      </c>
      <c r="C7" s="620"/>
      <c r="D7" s="446"/>
      <c r="E7" s="445"/>
      <c r="F7" s="135"/>
      <c r="G7" s="136"/>
      <c r="H7" s="135"/>
      <c r="I7" s="127"/>
      <c r="J7" s="149"/>
      <c r="K7" s="135"/>
      <c r="L7" s="107"/>
      <c r="M7" s="107"/>
    </row>
    <row r="8" spans="1:13" s="137" customFormat="1" ht="26.1" customHeight="1" x14ac:dyDescent="0.2">
      <c r="A8" s="138"/>
      <c r="B8" s="433" t="s">
        <v>528</v>
      </c>
      <c r="C8" s="152"/>
      <c r="D8" s="144">
        <v>2225</v>
      </c>
      <c r="E8" s="138" t="s">
        <v>72</v>
      </c>
      <c r="F8" s="141">
        <v>300</v>
      </c>
      <c r="G8" s="141">
        <f>D8*F8</f>
        <v>667500</v>
      </c>
      <c r="H8" s="141">
        <v>112</v>
      </c>
      <c r="I8" s="141">
        <f>H8*D8</f>
        <v>249200</v>
      </c>
      <c r="J8" s="147">
        <f>I8+G8</f>
        <v>916700</v>
      </c>
      <c r="K8" s="145"/>
      <c r="L8" s="276"/>
      <c r="M8" s="273"/>
    </row>
    <row r="9" spans="1:13" s="137" customFormat="1" ht="26.1" customHeight="1" x14ac:dyDescent="0.2">
      <c r="A9" s="138"/>
      <c r="B9" s="433" t="s">
        <v>529</v>
      </c>
      <c r="C9" s="152"/>
      <c r="D9" s="144">
        <v>2470</v>
      </c>
      <c r="E9" s="138" t="s">
        <v>40</v>
      </c>
      <c r="F9" s="141">
        <v>550</v>
      </c>
      <c r="G9" s="141">
        <f t="shared" ref="G9:G23" si="0">D9*F9</f>
        <v>1358500</v>
      </c>
      <c r="H9" s="141">
        <v>0</v>
      </c>
      <c r="I9" s="141">
        <f t="shared" ref="I9:I24" si="1">H9*D9</f>
        <v>0</v>
      </c>
      <c r="J9" s="147">
        <f>I9+G9</f>
        <v>1358500</v>
      </c>
      <c r="K9" s="145"/>
      <c r="L9" s="272"/>
      <c r="M9" s="273"/>
    </row>
    <row r="10" spans="1:13" s="137" customFormat="1" ht="26.1" customHeight="1" x14ac:dyDescent="0.2">
      <c r="A10" s="138"/>
      <c r="B10" s="433" t="s">
        <v>530</v>
      </c>
      <c r="C10" s="152"/>
      <c r="D10" s="144">
        <v>115</v>
      </c>
      <c r="E10" s="138" t="s">
        <v>71</v>
      </c>
      <c r="F10" s="141">
        <v>250</v>
      </c>
      <c r="G10" s="141">
        <f t="shared" si="0"/>
        <v>28750</v>
      </c>
      <c r="H10" s="141">
        <v>40</v>
      </c>
      <c r="I10" s="141">
        <f t="shared" si="1"/>
        <v>4600</v>
      </c>
      <c r="J10" s="147">
        <f t="shared" ref="J10:J24" si="2">I10+G10</f>
        <v>33350</v>
      </c>
      <c r="K10" s="145"/>
      <c r="L10" s="272"/>
      <c r="M10" s="273"/>
    </row>
    <row r="11" spans="1:13" s="137" customFormat="1" ht="26.1" customHeight="1" x14ac:dyDescent="0.2">
      <c r="A11" s="138"/>
      <c r="B11" s="433" t="s">
        <v>531</v>
      </c>
      <c r="C11" s="152"/>
      <c r="D11" s="144">
        <v>390</v>
      </c>
      <c r="E11" s="138" t="s">
        <v>40</v>
      </c>
      <c r="F11" s="141">
        <v>327</v>
      </c>
      <c r="G11" s="141">
        <f t="shared" si="0"/>
        <v>127530</v>
      </c>
      <c r="H11" s="141">
        <v>55</v>
      </c>
      <c r="I11" s="141">
        <f t="shared" si="1"/>
        <v>21450</v>
      </c>
      <c r="J11" s="147">
        <f t="shared" si="2"/>
        <v>148980</v>
      </c>
      <c r="K11" s="145"/>
      <c r="L11" s="272"/>
      <c r="M11" s="273"/>
    </row>
    <row r="12" spans="1:13" s="137" customFormat="1" ht="26.1" customHeight="1" x14ac:dyDescent="0.2">
      <c r="A12" s="138"/>
      <c r="B12" s="433" t="s">
        <v>532</v>
      </c>
      <c r="C12" s="152"/>
      <c r="D12" s="144">
        <v>1</v>
      </c>
      <c r="E12" s="138" t="s">
        <v>38</v>
      </c>
      <c r="F12" s="141">
        <v>15000</v>
      </c>
      <c r="G12" s="141">
        <f t="shared" si="0"/>
        <v>15000</v>
      </c>
      <c r="H12" s="141">
        <v>0</v>
      </c>
      <c r="I12" s="141">
        <f t="shared" si="1"/>
        <v>0</v>
      </c>
      <c r="J12" s="147">
        <f t="shared" si="2"/>
        <v>15000</v>
      </c>
      <c r="K12" s="145"/>
      <c r="L12" s="272"/>
      <c r="M12" s="273"/>
    </row>
    <row r="13" spans="1:13" s="137" customFormat="1" ht="26.1" customHeight="1" x14ac:dyDescent="0.2">
      <c r="A13" s="138"/>
      <c r="B13" s="433" t="s">
        <v>533</v>
      </c>
      <c r="C13" s="152"/>
      <c r="D13" s="144">
        <v>140</v>
      </c>
      <c r="E13" s="138" t="s">
        <v>71</v>
      </c>
      <c r="F13" s="141">
        <v>450</v>
      </c>
      <c r="G13" s="141">
        <f t="shared" si="0"/>
        <v>63000</v>
      </c>
      <c r="H13" s="141">
        <v>0</v>
      </c>
      <c r="I13" s="141">
        <f t="shared" si="1"/>
        <v>0</v>
      </c>
      <c r="J13" s="147">
        <f t="shared" si="2"/>
        <v>63000</v>
      </c>
      <c r="K13" s="435"/>
      <c r="L13" s="272"/>
      <c r="M13" s="273"/>
    </row>
    <row r="14" spans="1:13" s="137" customFormat="1" ht="26.1" customHeight="1" x14ac:dyDescent="0.2">
      <c r="A14" s="138"/>
      <c r="B14" s="433" t="s">
        <v>534</v>
      </c>
      <c r="C14" s="152"/>
      <c r="D14" s="144"/>
      <c r="E14" s="138"/>
      <c r="F14" s="141"/>
      <c r="G14" s="141">
        <f t="shared" si="0"/>
        <v>0</v>
      </c>
      <c r="H14" s="141"/>
      <c r="I14" s="141">
        <f t="shared" si="1"/>
        <v>0</v>
      </c>
      <c r="J14" s="147">
        <f t="shared" si="2"/>
        <v>0</v>
      </c>
      <c r="K14" s="435"/>
      <c r="L14" s="272"/>
      <c r="M14" s="273"/>
    </row>
    <row r="15" spans="1:13" s="137" customFormat="1" ht="26.1" customHeight="1" x14ac:dyDescent="0.2">
      <c r="A15" s="138"/>
      <c r="B15" s="433" t="s">
        <v>535</v>
      </c>
      <c r="C15" s="152"/>
      <c r="D15" s="144">
        <v>80</v>
      </c>
      <c r="E15" s="138" t="s">
        <v>71</v>
      </c>
      <c r="F15" s="141">
        <v>545</v>
      </c>
      <c r="G15" s="141">
        <f t="shared" si="0"/>
        <v>43600</v>
      </c>
      <c r="H15" s="141">
        <v>0</v>
      </c>
      <c r="I15" s="141">
        <f t="shared" si="1"/>
        <v>0</v>
      </c>
      <c r="J15" s="147">
        <f t="shared" si="2"/>
        <v>43600</v>
      </c>
      <c r="K15" s="435" t="s">
        <v>87</v>
      </c>
      <c r="L15" s="272"/>
      <c r="M15" s="273"/>
    </row>
    <row r="16" spans="1:13" s="137" customFormat="1" ht="26.1" customHeight="1" x14ac:dyDescent="0.2">
      <c r="A16" s="138"/>
      <c r="B16" s="433" t="s">
        <v>536</v>
      </c>
      <c r="C16" s="152"/>
      <c r="D16" s="144">
        <v>0</v>
      </c>
      <c r="E16" s="138" t="s">
        <v>71</v>
      </c>
      <c r="F16" s="141">
        <v>0</v>
      </c>
      <c r="G16" s="141">
        <f t="shared" si="0"/>
        <v>0</v>
      </c>
      <c r="H16" s="141">
        <v>0</v>
      </c>
      <c r="I16" s="141">
        <f t="shared" si="1"/>
        <v>0</v>
      </c>
      <c r="J16" s="147">
        <f t="shared" si="2"/>
        <v>0</v>
      </c>
      <c r="K16" s="435" t="s">
        <v>87</v>
      </c>
      <c r="L16" s="272"/>
      <c r="M16" s="273"/>
    </row>
    <row r="17" spans="1:13" s="137" customFormat="1" ht="26.1" customHeight="1" x14ac:dyDescent="0.2">
      <c r="A17" s="138"/>
      <c r="B17" s="433" t="s">
        <v>537</v>
      </c>
      <c r="C17" s="152"/>
      <c r="D17" s="145"/>
      <c r="E17" s="138"/>
      <c r="F17" s="141"/>
      <c r="G17" s="141">
        <f t="shared" si="0"/>
        <v>0</v>
      </c>
      <c r="H17" s="141"/>
      <c r="I17" s="141">
        <f t="shared" si="1"/>
        <v>0</v>
      </c>
      <c r="J17" s="147">
        <f t="shared" si="2"/>
        <v>0</v>
      </c>
      <c r="K17" s="435"/>
      <c r="L17" s="272"/>
      <c r="M17" s="273"/>
    </row>
    <row r="18" spans="1:13" s="137" customFormat="1" ht="26.1" customHeight="1" x14ac:dyDescent="0.2">
      <c r="A18" s="138"/>
      <c r="B18" s="433" t="s">
        <v>538</v>
      </c>
      <c r="C18" s="153"/>
      <c r="D18" s="144">
        <v>9</v>
      </c>
      <c r="E18" s="138" t="s">
        <v>160</v>
      </c>
      <c r="F18" s="141">
        <v>5715</v>
      </c>
      <c r="G18" s="141">
        <f t="shared" si="0"/>
        <v>51435</v>
      </c>
      <c r="H18" s="141">
        <v>0</v>
      </c>
      <c r="I18" s="141">
        <f t="shared" si="1"/>
        <v>0</v>
      </c>
      <c r="J18" s="147">
        <f t="shared" si="2"/>
        <v>51435</v>
      </c>
      <c r="K18" s="435" t="s">
        <v>87</v>
      </c>
      <c r="L18" s="272"/>
      <c r="M18" s="273"/>
    </row>
    <row r="19" spans="1:13" s="137" customFormat="1" ht="26.1" customHeight="1" x14ac:dyDescent="0.2">
      <c r="A19" s="148"/>
      <c r="B19" s="433" t="s">
        <v>539</v>
      </c>
      <c r="C19" s="152"/>
      <c r="D19" s="144">
        <v>5</v>
      </c>
      <c r="E19" s="138" t="s">
        <v>160</v>
      </c>
      <c r="F19" s="141">
        <v>6715</v>
      </c>
      <c r="G19" s="141">
        <f t="shared" si="0"/>
        <v>33575</v>
      </c>
      <c r="H19" s="141">
        <v>0</v>
      </c>
      <c r="I19" s="141">
        <f t="shared" si="1"/>
        <v>0</v>
      </c>
      <c r="J19" s="147">
        <f t="shared" si="2"/>
        <v>33575</v>
      </c>
      <c r="K19" s="435" t="s">
        <v>87</v>
      </c>
      <c r="L19" s="272"/>
      <c r="M19" s="273"/>
    </row>
    <row r="20" spans="1:13" s="137" customFormat="1" ht="26.1" customHeight="1" x14ac:dyDescent="0.2">
      <c r="A20" s="148"/>
      <c r="B20" s="433" t="s">
        <v>540</v>
      </c>
      <c r="C20" s="152"/>
      <c r="D20" s="144"/>
      <c r="E20" s="138"/>
      <c r="F20" s="141"/>
      <c r="G20" s="141">
        <f t="shared" si="0"/>
        <v>0</v>
      </c>
      <c r="H20" s="141"/>
      <c r="I20" s="141">
        <f t="shared" si="1"/>
        <v>0</v>
      </c>
      <c r="J20" s="147">
        <f t="shared" si="2"/>
        <v>0</v>
      </c>
      <c r="K20" s="435"/>
      <c r="L20" s="277"/>
      <c r="M20" s="273"/>
    </row>
    <row r="21" spans="1:13" s="137" customFormat="1" ht="26.1" customHeight="1" x14ac:dyDescent="0.2">
      <c r="A21" s="148"/>
      <c r="B21" s="434" t="s">
        <v>541</v>
      </c>
      <c r="C21" s="152"/>
      <c r="D21" s="144">
        <v>7</v>
      </c>
      <c r="E21" s="138" t="s">
        <v>66</v>
      </c>
      <c r="F21" s="141">
        <v>15000</v>
      </c>
      <c r="G21" s="141">
        <f t="shared" si="0"/>
        <v>105000</v>
      </c>
      <c r="H21" s="141">
        <v>0</v>
      </c>
      <c r="I21" s="141">
        <f t="shared" si="1"/>
        <v>0</v>
      </c>
      <c r="J21" s="147">
        <f t="shared" si="2"/>
        <v>105000</v>
      </c>
      <c r="K21" s="435" t="s">
        <v>545</v>
      </c>
      <c r="L21" s="277"/>
      <c r="M21" s="273"/>
    </row>
    <row r="22" spans="1:13" s="137" customFormat="1" ht="26.1" customHeight="1" x14ac:dyDescent="0.2">
      <c r="A22" s="148"/>
      <c r="B22" s="434" t="s">
        <v>542</v>
      </c>
      <c r="C22" s="152"/>
      <c r="D22" s="144">
        <v>0</v>
      </c>
      <c r="E22" s="138" t="s">
        <v>66</v>
      </c>
      <c r="F22" s="141">
        <v>0</v>
      </c>
      <c r="G22" s="141">
        <f t="shared" si="0"/>
        <v>0</v>
      </c>
      <c r="H22" s="141">
        <v>0</v>
      </c>
      <c r="I22" s="141">
        <f t="shared" si="1"/>
        <v>0</v>
      </c>
      <c r="J22" s="147">
        <f t="shared" si="2"/>
        <v>0</v>
      </c>
      <c r="K22" s="435" t="s">
        <v>546</v>
      </c>
      <c r="L22" s="277"/>
      <c r="M22" s="273"/>
    </row>
    <row r="23" spans="1:13" s="137" customFormat="1" ht="26.1" customHeight="1" x14ac:dyDescent="0.2">
      <c r="A23" s="138"/>
      <c r="B23" s="434" t="s">
        <v>543</v>
      </c>
      <c r="C23" s="152"/>
      <c r="D23" s="145">
        <v>1</v>
      </c>
      <c r="E23" s="138" t="s">
        <v>66</v>
      </c>
      <c r="F23" s="141">
        <v>136600</v>
      </c>
      <c r="G23" s="141">
        <f t="shared" si="0"/>
        <v>136600</v>
      </c>
      <c r="H23" s="141">
        <v>0</v>
      </c>
      <c r="I23" s="141">
        <f t="shared" si="1"/>
        <v>0</v>
      </c>
      <c r="J23" s="147">
        <f t="shared" si="2"/>
        <v>136600</v>
      </c>
      <c r="K23" s="435"/>
      <c r="L23" s="277"/>
      <c r="M23" s="273"/>
    </row>
    <row r="24" spans="1:13" s="137" customFormat="1" ht="26.1" customHeight="1" thickBot="1" x14ac:dyDescent="0.25">
      <c r="A24" s="138"/>
      <c r="B24" s="434" t="s">
        <v>544</v>
      </c>
      <c r="C24" s="152"/>
      <c r="D24" s="145">
        <v>140</v>
      </c>
      <c r="E24" s="138" t="s">
        <v>71</v>
      </c>
      <c r="F24" s="141">
        <v>1500</v>
      </c>
      <c r="G24" s="141">
        <f>D24*F24</f>
        <v>210000</v>
      </c>
      <c r="H24" s="141">
        <v>0</v>
      </c>
      <c r="I24" s="141">
        <f t="shared" si="1"/>
        <v>0</v>
      </c>
      <c r="J24" s="147">
        <f t="shared" si="2"/>
        <v>210000</v>
      </c>
      <c r="K24" s="145"/>
      <c r="L24" s="277"/>
      <c r="M24" s="273"/>
    </row>
    <row r="25" spans="1:13" ht="26.1" customHeight="1" thickBot="1" x14ac:dyDescent="0.25">
      <c r="A25" s="130"/>
      <c r="B25" s="595" t="s">
        <v>161</v>
      </c>
      <c r="C25" s="595"/>
      <c r="D25" s="595"/>
      <c r="E25" s="595"/>
      <c r="F25" s="595"/>
      <c r="G25" s="595"/>
      <c r="H25" s="595"/>
      <c r="I25" s="597"/>
      <c r="J25" s="131">
        <f>SUM(J8:J24)</f>
        <v>3115740</v>
      </c>
      <c r="K25" s="132"/>
      <c r="L25" s="275"/>
    </row>
  </sheetData>
  <mergeCells count="9">
    <mergeCell ref="K5:K6"/>
    <mergeCell ref="B25:I25"/>
    <mergeCell ref="B7:C7"/>
    <mergeCell ref="A5:A6"/>
    <mergeCell ref="B5:C6"/>
    <mergeCell ref="D5:D6"/>
    <mergeCell ref="E5:E6"/>
    <mergeCell ref="F5:G5"/>
    <mergeCell ref="H5:I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AC44-C1DB-47B1-BCB7-8DE1F81AF65E}">
  <sheetPr>
    <tabColor rgb="FFFF0000"/>
  </sheetPr>
  <dimension ref="A1:L14"/>
  <sheetViews>
    <sheetView zoomScaleNormal="100" zoomScaleSheetLayoutView="115" workbookViewId="0">
      <selection activeCell="F10" sqref="F10"/>
    </sheetView>
  </sheetViews>
  <sheetFormatPr defaultColWidth="9.140625" defaultRowHeight="23.25" x14ac:dyDescent="0.2"/>
  <cols>
    <col min="1" max="1" width="7.140625" style="404" customWidth="1"/>
    <col min="2" max="2" width="57.140625" style="404" customWidth="1"/>
    <col min="3" max="3" width="14.85546875" style="134" customWidth="1"/>
    <col min="4" max="4" width="8" style="404" customWidth="1"/>
    <col min="5" max="5" width="16.7109375" style="404" customWidth="1"/>
    <col min="6" max="6" width="17.28515625" style="404" bestFit="1" customWidth="1"/>
    <col min="7" max="8" width="16.7109375" style="404" customWidth="1"/>
    <col min="9" max="9" width="17.5703125" style="404" bestFit="1" customWidth="1"/>
    <col min="10" max="10" width="15" style="404" customWidth="1"/>
    <col min="11" max="11" width="14.85546875" style="404" customWidth="1"/>
    <col min="12" max="12" width="11.28515625" style="404" bestFit="1" customWidth="1"/>
    <col min="13" max="16384" width="9.140625" style="404"/>
  </cols>
  <sheetData>
    <row r="1" spans="1:12" s="391" customFormat="1" ht="27.95" customHeight="1" x14ac:dyDescent="0.2">
      <c r="A1" s="391" t="s">
        <v>572</v>
      </c>
      <c r="E1" s="392"/>
      <c r="I1" s="391" t="s">
        <v>507</v>
      </c>
      <c r="J1" s="393" t="s">
        <v>547</v>
      </c>
    </row>
    <row r="2" spans="1:12" s="391" customFormat="1" ht="27.95" customHeight="1" x14ac:dyDescent="0.2">
      <c r="A2" s="624" t="s">
        <v>553</v>
      </c>
      <c r="B2" s="624"/>
      <c r="C2" s="624"/>
      <c r="D2" s="624"/>
      <c r="E2" s="624"/>
      <c r="F2" s="624" t="s">
        <v>573</v>
      </c>
      <c r="G2" s="624"/>
      <c r="H2" s="624"/>
      <c r="I2" s="624"/>
      <c r="J2" s="624"/>
      <c r="K2" s="624"/>
    </row>
    <row r="3" spans="1:12" s="391" customFormat="1" ht="27.95" customHeight="1" x14ac:dyDescent="0.2">
      <c r="A3" s="624" t="s">
        <v>554</v>
      </c>
      <c r="B3" s="624"/>
      <c r="C3" s="624"/>
      <c r="D3" s="624"/>
      <c r="E3" s="624"/>
      <c r="F3" s="625"/>
      <c r="G3" s="625"/>
      <c r="H3" s="625"/>
      <c r="I3" s="625"/>
      <c r="J3" s="625"/>
      <c r="K3" s="625"/>
    </row>
    <row r="4" spans="1:12" s="391" customFormat="1" ht="27.95" customHeight="1" thickBot="1" x14ac:dyDescent="0.55000000000000004">
      <c r="A4" s="626" t="s">
        <v>574</v>
      </c>
      <c r="B4" s="626"/>
      <c r="C4" s="626"/>
      <c r="D4" s="626"/>
      <c r="E4" s="626"/>
      <c r="F4" s="626"/>
      <c r="G4" s="626"/>
      <c r="H4" s="626"/>
      <c r="I4" s="626"/>
      <c r="J4" s="626"/>
      <c r="K4" s="394"/>
    </row>
    <row r="5" spans="1:12" s="391" customFormat="1" ht="27.95" customHeight="1" x14ac:dyDescent="0.2">
      <c r="A5" s="627" t="s">
        <v>3</v>
      </c>
      <c r="B5" s="621" t="s">
        <v>4</v>
      </c>
      <c r="C5" s="630" t="s">
        <v>18</v>
      </c>
      <c r="D5" s="621" t="s">
        <v>19</v>
      </c>
      <c r="E5" s="621" t="s">
        <v>20</v>
      </c>
      <c r="F5" s="621"/>
      <c r="G5" s="621" t="s">
        <v>21</v>
      </c>
      <c r="H5" s="621"/>
      <c r="I5" s="395" t="s">
        <v>22</v>
      </c>
      <c r="J5" s="622" t="s">
        <v>8</v>
      </c>
    </row>
    <row r="6" spans="1:12" s="391" customFormat="1" ht="27.95" customHeight="1" thickBot="1" x14ac:dyDescent="0.25">
      <c r="A6" s="628"/>
      <c r="B6" s="629"/>
      <c r="C6" s="631"/>
      <c r="D6" s="629"/>
      <c r="E6" s="396" t="s">
        <v>23</v>
      </c>
      <c r="F6" s="396" t="s">
        <v>24</v>
      </c>
      <c r="G6" s="396" t="s">
        <v>23</v>
      </c>
      <c r="H6" s="396" t="s">
        <v>24</v>
      </c>
      <c r="I6" s="396" t="s">
        <v>25</v>
      </c>
      <c r="J6" s="623"/>
    </row>
    <row r="7" spans="1:12" ht="27.95" customHeight="1" x14ac:dyDescent="0.2">
      <c r="A7" s="397">
        <v>8</v>
      </c>
      <c r="B7" s="398" t="s">
        <v>508</v>
      </c>
      <c r="C7" s="399"/>
      <c r="D7" s="400" t="s">
        <v>488</v>
      </c>
      <c r="E7" s="401"/>
      <c r="F7" s="402"/>
      <c r="G7" s="401"/>
      <c r="H7" s="402"/>
      <c r="I7" s="402"/>
      <c r="J7" s="403"/>
    </row>
    <row r="8" spans="1:12" ht="27.95" customHeight="1" x14ac:dyDescent="0.2">
      <c r="A8" s="405"/>
      <c r="B8" s="406" t="s">
        <v>514</v>
      </c>
      <c r="C8" s="407">
        <v>2430</v>
      </c>
      <c r="D8" s="408" t="s">
        <v>40</v>
      </c>
      <c r="E8" s="409">
        <v>0</v>
      </c>
      <c r="F8" s="409">
        <f>C8*E8</f>
        <v>0</v>
      </c>
      <c r="G8" s="409">
        <v>3.9</v>
      </c>
      <c r="H8" s="409">
        <f>C8*G8</f>
        <v>9477</v>
      </c>
      <c r="I8" s="409">
        <f t="shared" ref="I8:I11" si="0">F8+H8</f>
        <v>9477</v>
      </c>
      <c r="J8" s="410"/>
      <c r="K8" s="411"/>
    </row>
    <row r="9" spans="1:12" ht="27.95" customHeight="1" x14ac:dyDescent="0.2">
      <c r="A9" s="405"/>
      <c r="B9" s="406" t="s">
        <v>527</v>
      </c>
      <c r="C9" s="407">
        <v>1512</v>
      </c>
      <c r="D9" s="408" t="s">
        <v>72</v>
      </c>
      <c r="E9" s="409">
        <v>300</v>
      </c>
      <c r="F9" s="409">
        <f t="shared" ref="F9:F11" si="1">C9*E9</f>
        <v>453600</v>
      </c>
      <c r="G9" s="409">
        <v>112</v>
      </c>
      <c r="H9" s="409">
        <f t="shared" ref="H9:H11" si="2">C9*G9</f>
        <v>169344</v>
      </c>
      <c r="I9" s="409">
        <f t="shared" si="0"/>
        <v>622944</v>
      </c>
      <c r="J9" s="410"/>
      <c r="K9" s="411"/>
    </row>
    <row r="10" spans="1:12" ht="27.95" customHeight="1" x14ac:dyDescent="0.2">
      <c r="A10" s="405"/>
      <c r="B10" s="406" t="s">
        <v>515</v>
      </c>
      <c r="C10" s="407">
        <v>1890</v>
      </c>
      <c r="D10" s="408" t="s">
        <v>40</v>
      </c>
      <c r="E10" s="409">
        <v>610</v>
      </c>
      <c r="F10" s="409">
        <f t="shared" si="1"/>
        <v>1152900</v>
      </c>
      <c r="G10" s="409">
        <v>0</v>
      </c>
      <c r="H10" s="409">
        <f t="shared" si="2"/>
        <v>0</v>
      </c>
      <c r="I10" s="409">
        <f t="shared" si="0"/>
        <v>1152900</v>
      </c>
      <c r="J10" s="412" t="s">
        <v>87</v>
      </c>
      <c r="K10" s="411"/>
    </row>
    <row r="11" spans="1:12" ht="27.95" customHeight="1" x14ac:dyDescent="0.2">
      <c r="A11" s="405"/>
      <c r="B11" s="406" t="s">
        <v>516</v>
      </c>
      <c r="C11" s="407">
        <v>1</v>
      </c>
      <c r="D11" s="408" t="s">
        <v>509</v>
      </c>
      <c r="E11" s="409">
        <v>41000</v>
      </c>
      <c r="F11" s="409">
        <f t="shared" si="1"/>
        <v>41000</v>
      </c>
      <c r="G11" s="409">
        <v>0</v>
      </c>
      <c r="H11" s="409">
        <f t="shared" si="2"/>
        <v>0</v>
      </c>
      <c r="I11" s="409">
        <f t="shared" si="0"/>
        <v>41000</v>
      </c>
      <c r="J11" s="412" t="s">
        <v>87</v>
      </c>
      <c r="K11" s="411"/>
    </row>
    <row r="12" spans="1:12" ht="27.95" customHeight="1" x14ac:dyDescent="0.2">
      <c r="A12" s="405"/>
      <c r="B12" s="406"/>
      <c r="C12" s="407"/>
      <c r="D12" s="408"/>
      <c r="E12" s="413"/>
      <c r="F12" s="409"/>
      <c r="G12" s="413"/>
      <c r="H12" s="413"/>
      <c r="I12" s="409"/>
      <c r="J12" s="412"/>
    </row>
    <row r="13" spans="1:12" ht="27.95" customHeight="1" thickBot="1" x14ac:dyDescent="0.25">
      <c r="A13" s="414"/>
      <c r="B13" s="415"/>
      <c r="C13" s="416"/>
      <c r="D13" s="417"/>
      <c r="E13" s="418"/>
      <c r="F13" s="419"/>
      <c r="G13" s="418"/>
      <c r="H13" s="418"/>
      <c r="I13" s="419"/>
      <c r="J13" s="420"/>
    </row>
    <row r="14" spans="1:12" ht="27.95" customHeight="1" thickBot="1" x14ac:dyDescent="0.25">
      <c r="A14" s="421"/>
      <c r="B14" s="422" t="s">
        <v>510</v>
      </c>
      <c r="C14" s="423"/>
      <c r="D14" s="424"/>
      <c r="E14" s="425"/>
      <c r="F14" s="425"/>
      <c r="G14" s="425"/>
      <c r="H14" s="425"/>
      <c r="I14" s="426">
        <f>SUM(I7:I13)</f>
        <v>1826321</v>
      </c>
      <c r="J14" s="427"/>
      <c r="K14" s="428"/>
      <c r="L14" s="428"/>
    </row>
  </sheetData>
  <mergeCells count="12">
    <mergeCell ref="G5:H5"/>
    <mergeCell ref="J5:J6"/>
    <mergeCell ref="A2:E2"/>
    <mergeCell ref="F2:K2"/>
    <mergeCell ref="A3:E3"/>
    <mergeCell ref="F3:K3"/>
    <mergeCell ref="A4:J4"/>
    <mergeCell ref="A5:A6"/>
    <mergeCell ref="B5:B6"/>
    <mergeCell ref="C5:C6"/>
    <mergeCell ref="D5:D6"/>
    <mergeCell ref="E5:F5"/>
  </mergeCells>
  <printOptions horizontalCentered="1" verticalCentered="1"/>
  <pageMargins left="0.19685039370078741" right="0.19685039370078741" top="0.19685039370078741" bottom="0.19685039370078741" header="0" footer="0"/>
  <pageSetup paperSize="9"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6F7B-36D5-4140-840E-909FB9A5AAB7}">
  <sheetPr>
    <tabColor rgb="FFFF0000"/>
  </sheetPr>
  <dimension ref="A1:M23"/>
  <sheetViews>
    <sheetView zoomScaleNormal="100" zoomScaleSheetLayoutView="115" workbookViewId="0">
      <selection activeCell="D4" sqref="D4"/>
    </sheetView>
  </sheetViews>
  <sheetFormatPr defaultColWidth="9.140625" defaultRowHeight="26.1" customHeight="1" x14ac:dyDescent="0.2"/>
  <cols>
    <col min="1" max="1" width="10.7109375" style="16" customWidth="1"/>
    <col min="2" max="2" width="10.7109375" style="37" customWidth="1"/>
    <col min="3" max="3" width="60.7109375" style="16" customWidth="1"/>
    <col min="4" max="4" width="12.7109375" style="134" customWidth="1"/>
    <col min="5" max="5" width="10.7109375" style="16" customWidth="1"/>
    <col min="6" max="6" width="13.7109375" style="16" customWidth="1"/>
    <col min="7" max="7" width="15.7109375" style="16" customWidth="1"/>
    <col min="8" max="8" width="13.7109375" style="16" customWidth="1"/>
    <col min="9" max="10" width="15.7109375" style="16" customWidth="1"/>
    <col min="11" max="11" width="13.7109375" style="16" customWidth="1"/>
    <col min="12" max="13" width="12.7109375" style="37" customWidth="1"/>
    <col min="14" max="16384" width="9.140625" style="16"/>
  </cols>
  <sheetData>
    <row r="1" spans="1:13" s="6" customFormat="1" ht="26.1" customHeight="1" x14ac:dyDescent="0.2">
      <c r="A1" s="6" t="str">
        <f>รวมราคา!A1</f>
        <v xml:space="preserve">ประมาณราคาค่าก่อสร้าง </v>
      </c>
      <c r="C1" s="88" t="s">
        <v>569</v>
      </c>
      <c r="J1" s="16" t="str">
        <f>รวมราคา!J1</f>
        <v>แบบ ปร.4   แผ่นที่</v>
      </c>
      <c r="K1" s="88">
        <v>21</v>
      </c>
      <c r="L1" s="107"/>
      <c r="M1" s="107"/>
    </row>
    <row r="2" spans="1:13" s="6" customFormat="1" ht="26.1" customHeight="1" x14ac:dyDescent="0.2">
      <c r="A2" s="6" t="str">
        <f>รวมราคา!A2</f>
        <v xml:space="preserve">สถานที่ก่อสร้าง  </v>
      </c>
      <c r="C2" s="16" t="str">
        <f>รวมราคา!C2</f>
        <v>บก.ตชก.ภาค 2 ถ.หลังศูนย์ราชการ ต.ในเมือง อ.เมือง จ.ขอนแก่น</v>
      </c>
      <c r="G2" s="6" t="str">
        <f>รวมราคา!G2</f>
        <v xml:space="preserve">แบบเลขที่ </v>
      </c>
      <c r="H2" s="16"/>
      <c r="L2" s="107"/>
      <c r="M2" s="107"/>
    </row>
    <row r="3" spans="1:13" s="38" customFormat="1" ht="26.1" customHeight="1" x14ac:dyDescent="0.5">
      <c r="A3" s="6" t="str">
        <f>รวมราคา!A3</f>
        <v xml:space="preserve">ฝ่ายประมาณราคา   </v>
      </c>
      <c r="B3" s="6"/>
      <c r="C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D3" s="6"/>
      <c r="E3" s="6"/>
      <c r="F3" s="6"/>
      <c r="G3" s="6" t="str">
        <f>รวมราคา!G3</f>
        <v>กำหนดราคากลางเมื่อ</v>
      </c>
      <c r="H3" s="16"/>
      <c r="I3" s="6"/>
      <c r="J3" s="6"/>
      <c r="K3" s="6"/>
      <c r="L3" s="271"/>
      <c r="M3" s="271"/>
    </row>
    <row r="4" spans="1:13" s="38" customFormat="1" ht="26.1" customHeight="1" thickBot="1" x14ac:dyDescent="0.55000000000000004">
      <c r="A4" s="87" t="str">
        <f>รวมราคา!A4</f>
        <v xml:space="preserve">ประมาณราคาโดย  </v>
      </c>
      <c r="B4" s="87"/>
      <c r="C4" s="429"/>
      <c r="D4" s="87"/>
      <c r="E4" s="87"/>
      <c r="F4" s="87"/>
      <c r="G4" s="87"/>
      <c r="H4" s="87"/>
      <c r="I4" s="87"/>
      <c r="J4" s="87"/>
      <c r="L4" s="271"/>
      <c r="M4" s="271"/>
    </row>
    <row r="5" spans="1:13" s="6" customFormat="1" ht="26.1" customHeight="1" thickBot="1" x14ac:dyDescent="0.25">
      <c r="A5" s="605" t="s">
        <v>3</v>
      </c>
      <c r="B5" s="610" t="s">
        <v>4</v>
      </c>
      <c r="C5" s="607"/>
      <c r="D5" s="612" t="s">
        <v>18</v>
      </c>
      <c r="E5" s="609" t="s">
        <v>19</v>
      </c>
      <c r="F5" s="594" t="s">
        <v>20</v>
      </c>
      <c r="G5" s="597"/>
      <c r="H5" s="594" t="s">
        <v>21</v>
      </c>
      <c r="I5" s="597"/>
      <c r="J5" s="111" t="s">
        <v>22</v>
      </c>
      <c r="K5" s="607" t="s">
        <v>8</v>
      </c>
      <c r="L5" s="107"/>
      <c r="M5" s="107"/>
    </row>
    <row r="6" spans="1:13" s="6" customFormat="1" ht="26.1" customHeight="1" thickBot="1" x14ac:dyDescent="0.25">
      <c r="A6" s="606"/>
      <c r="B6" s="611"/>
      <c r="C6" s="608"/>
      <c r="D6" s="613"/>
      <c r="E6" s="614"/>
      <c r="F6" s="116" t="s">
        <v>23</v>
      </c>
      <c r="G6" s="115" t="s">
        <v>24</v>
      </c>
      <c r="H6" s="116" t="s">
        <v>23</v>
      </c>
      <c r="I6" s="116" t="s">
        <v>24</v>
      </c>
      <c r="J6" s="114" t="s">
        <v>25</v>
      </c>
      <c r="K6" s="608"/>
      <c r="L6" s="107"/>
      <c r="M6" s="107"/>
    </row>
    <row r="7" spans="1:13" s="6" customFormat="1" ht="26.1" customHeight="1" x14ac:dyDescent="0.2">
      <c r="A7" s="111">
        <v>9</v>
      </c>
      <c r="B7" s="619" t="s">
        <v>511</v>
      </c>
      <c r="C7" s="620"/>
      <c r="D7" s="112"/>
      <c r="E7" s="113"/>
      <c r="F7" s="135"/>
      <c r="G7" s="136"/>
      <c r="H7" s="135"/>
      <c r="I7" s="127"/>
      <c r="J7" s="149"/>
      <c r="K7" s="135"/>
      <c r="L7" s="107"/>
      <c r="M7" s="107"/>
    </row>
    <row r="8" spans="1:13" s="137" customFormat="1" ht="26.1" customHeight="1" x14ac:dyDescent="0.2">
      <c r="A8" s="138"/>
      <c r="B8" s="154">
        <v>9.1</v>
      </c>
      <c r="C8" s="152" t="s">
        <v>517</v>
      </c>
      <c r="D8" s="144">
        <v>40</v>
      </c>
      <c r="E8" s="138" t="s">
        <v>38</v>
      </c>
      <c r="F8" s="141">
        <v>15600</v>
      </c>
      <c r="G8" s="141">
        <f>D8*F8</f>
        <v>624000</v>
      </c>
      <c r="H8" s="141"/>
      <c r="I8" s="141">
        <f>D8*H8</f>
        <v>0</v>
      </c>
      <c r="J8" s="147">
        <f>G8+I8</f>
        <v>624000</v>
      </c>
      <c r="K8" s="145"/>
      <c r="L8" s="276"/>
      <c r="M8" s="273"/>
    </row>
    <row r="9" spans="1:13" s="137" customFormat="1" ht="26.1" customHeight="1" x14ac:dyDescent="0.2">
      <c r="A9" s="138"/>
      <c r="B9" s="154">
        <v>9.1999999999999993</v>
      </c>
      <c r="C9" s="152" t="s">
        <v>518</v>
      </c>
      <c r="D9" s="144">
        <v>40</v>
      </c>
      <c r="E9" s="138" t="s">
        <v>38</v>
      </c>
      <c r="F9" s="141">
        <v>10500</v>
      </c>
      <c r="G9" s="141">
        <f>D9*F9</f>
        <v>420000</v>
      </c>
      <c r="H9" s="141"/>
      <c r="I9" s="141">
        <f>D9*H9</f>
        <v>0</v>
      </c>
      <c r="J9" s="147">
        <f>G9+I9</f>
        <v>420000</v>
      </c>
      <c r="K9" s="145"/>
      <c r="L9" s="272"/>
      <c r="M9" s="273"/>
    </row>
    <row r="10" spans="1:13" s="137" customFormat="1" ht="26.1" customHeight="1" x14ac:dyDescent="0.2">
      <c r="A10" s="138"/>
      <c r="B10" s="154">
        <v>9.3000000000000007</v>
      </c>
      <c r="C10" s="152" t="s">
        <v>519</v>
      </c>
      <c r="D10" s="144">
        <v>40</v>
      </c>
      <c r="E10" s="138" t="s">
        <v>38</v>
      </c>
      <c r="F10" s="141">
        <v>12000</v>
      </c>
      <c r="G10" s="141">
        <f t="shared" ref="G10:G12" si="0">D10*F10</f>
        <v>480000</v>
      </c>
      <c r="H10" s="141"/>
      <c r="I10" s="147">
        <f t="shared" ref="I10:I12" si="1">D10*H10</f>
        <v>0</v>
      </c>
      <c r="J10" s="141">
        <f t="shared" ref="J10:J12" si="2">G10+I10</f>
        <v>480000</v>
      </c>
      <c r="K10" s="145"/>
      <c r="L10" s="272"/>
      <c r="M10" s="273"/>
    </row>
    <row r="11" spans="1:13" s="137" customFormat="1" ht="26.1" customHeight="1" x14ac:dyDescent="0.2">
      <c r="A11" s="138"/>
      <c r="B11" s="154">
        <v>9.4</v>
      </c>
      <c r="C11" s="152" t="s">
        <v>520</v>
      </c>
      <c r="D11" s="144">
        <v>40</v>
      </c>
      <c r="E11" s="138" t="s">
        <v>38</v>
      </c>
      <c r="F11" s="141">
        <v>11000</v>
      </c>
      <c r="G11" s="141">
        <f t="shared" si="0"/>
        <v>440000</v>
      </c>
      <c r="H11" s="141"/>
      <c r="I11" s="147">
        <f t="shared" si="1"/>
        <v>0</v>
      </c>
      <c r="J11" s="141">
        <f t="shared" si="2"/>
        <v>440000</v>
      </c>
      <c r="K11" s="140"/>
      <c r="L11" s="272"/>
      <c r="M11" s="273"/>
    </row>
    <row r="12" spans="1:13" s="137" customFormat="1" ht="26.1" customHeight="1" x14ac:dyDescent="0.2">
      <c r="A12" s="138"/>
      <c r="B12" s="154">
        <v>9.5</v>
      </c>
      <c r="C12" s="152" t="s">
        <v>521</v>
      </c>
      <c r="D12" s="144">
        <v>40</v>
      </c>
      <c r="E12" s="138" t="s">
        <v>38</v>
      </c>
      <c r="F12" s="141">
        <v>14625</v>
      </c>
      <c r="G12" s="141">
        <f t="shared" si="0"/>
        <v>585000</v>
      </c>
      <c r="H12" s="141"/>
      <c r="I12" s="147">
        <f t="shared" si="1"/>
        <v>0</v>
      </c>
      <c r="J12" s="141">
        <f t="shared" si="2"/>
        <v>585000</v>
      </c>
      <c r="K12" s="140"/>
      <c r="L12" s="272"/>
      <c r="M12" s="273"/>
    </row>
    <row r="13" spans="1:13" s="137" customFormat="1" ht="26.1" customHeight="1" x14ac:dyDescent="0.2">
      <c r="A13" s="138"/>
      <c r="B13" s="154"/>
      <c r="C13" s="152"/>
      <c r="D13" s="144"/>
      <c r="E13" s="138"/>
      <c r="F13" s="141"/>
      <c r="G13" s="141"/>
      <c r="H13" s="141"/>
      <c r="I13" s="147"/>
      <c r="J13" s="141"/>
      <c r="K13" s="140"/>
      <c r="L13" s="272"/>
      <c r="M13" s="273"/>
    </row>
    <row r="14" spans="1:13" s="137" customFormat="1" ht="26.1" customHeight="1" x14ac:dyDescent="0.2">
      <c r="A14" s="138"/>
      <c r="B14" s="154"/>
      <c r="C14" s="152"/>
      <c r="D14" s="145"/>
      <c r="E14" s="138"/>
      <c r="F14" s="141"/>
      <c r="G14" s="141"/>
      <c r="H14" s="141"/>
      <c r="I14" s="147"/>
      <c r="J14" s="141"/>
      <c r="K14" s="140"/>
      <c r="L14" s="272"/>
      <c r="M14" s="273"/>
    </row>
    <row r="15" spans="1:13" s="137" customFormat="1" ht="26.1" customHeight="1" x14ac:dyDescent="0.2">
      <c r="A15" s="138"/>
      <c r="B15" s="154"/>
      <c r="C15" s="152"/>
      <c r="D15" s="145"/>
      <c r="E15" s="138"/>
      <c r="F15" s="141"/>
      <c r="G15" s="141"/>
      <c r="H15" s="141"/>
      <c r="I15" s="147"/>
      <c r="J15" s="141"/>
      <c r="K15" s="140"/>
      <c r="L15" s="272"/>
      <c r="M15" s="273"/>
    </row>
    <row r="16" spans="1:13" s="137" customFormat="1" ht="26.1" customHeight="1" x14ac:dyDescent="0.2">
      <c r="A16" s="138"/>
      <c r="B16" s="154"/>
      <c r="C16" s="152"/>
      <c r="D16" s="145"/>
      <c r="E16" s="138"/>
      <c r="F16" s="141"/>
      <c r="G16" s="141"/>
      <c r="H16" s="141"/>
      <c r="I16" s="147"/>
      <c r="J16" s="141"/>
      <c r="K16" s="140"/>
      <c r="L16" s="272"/>
      <c r="M16" s="273"/>
    </row>
    <row r="17" spans="1:13" s="137" customFormat="1" ht="26.1" customHeight="1" x14ac:dyDescent="0.2">
      <c r="A17" s="138"/>
      <c r="B17" s="154"/>
      <c r="C17" s="152"/>
      <c r="D17" s="145"/>
      <c r="E17" s="138"/>
      <c r="F17" s="141"/>
      <c r="G17" s="141"/>
      <c r="H17" s="141"/>
      <c r="I17" s="147"/>
      <c r="J17" s="141"/>
      <c r="K17" s="140"/>
      <c r="L17" s="272"/>
      <c r="M17" s="273"/>
    </row>
    <row r="18" spans="1:13" s="137" customFormat="1" ht="26.1" customHeight="1" x14ac:dyDescent="0.2">
      <c r="A18" s="138"/>
      <c r="B18" s="154"/>
      <c r="C18" s="152"/>
      <c r="D18" s="145"/>
      <c r="E18" s="138"/>
      <c r="F18" s="141"/>
      <c r="G18" s="141"/>
      <c r="H18" s="141"/>
      <c r="I18" s="147"/>
      <c r="J18" s="141"/>
      <c r="K18" s="140"/>
      <c r="L18" s="272"/>
      <c r="M18" s="273"/>
    </row>
    <row r="19" spans="1:13" s="137" customFormat="1" ht="26.1" customHeight="1" x14ac:dyDescent="0.2">
      <c r="A19" s="138"/>
      <c r="B19" s="154"/>
      <c r="C19" s="152"/>
      <c r="D19" s="145"/>
      <c r="E19" s="138"/>
      <c r="F19" s="141"/>
      <c r="G19" s="141"/>
      <c r="H19" s="141"/>
      <c r="I19" s="147"/>
      <c r="J19" s="141"/>
      <c r="K19" s="140"/>
      <c r="L19" s="272"/>
      <c r="M19" s="273"/>
    </row>
    <row r="20" spans="1:13" s="137" customFormat="1" ht="26.1" customHeight="1" x14ac:dyDescent="0.2">
      <c r="A20" s="138"/>
      <c r="B20" s="154"/>
      <c r="C20" s="152"/>
      <c r="D20" s="145"/>
      <c r="E20" s="138"/>
      <c r="F20" s="141"/>
      <c r="G20" s="141"/>
      <c r="H20" s="141"/>
      <c r="I20" s="147"/>
      <c r="J20" s="141"/>
      <c r="K20" s="140"/>
      <c r="L20" s="272"/>
      <c r="M20" s="273"/>
    </row>
    <row r="21" spans="1:13" s="137" customFormat="1" ht="26.1" customHeight="1" x14ac:dyDescent="0.2">
      <c r="A21" s="138"/>
      <c r="B21" s="154"/>
      <c r="C21" s="152"/>
      <c r="D21" s="145"/>
      <c r="E21" s="138"/>
      <c r="F21" s="141"/>
      <c r="G21" s="141"/>
      <c r="H21" s="141"/>
      <c r="I21" s="147"/>
      <c r="J21" s="141"/>
      <c r="K21" s="140"/>
      <c r="L21" s="272"/>
      <c r="M21" s="273"/>
    </row>
    <row r="22" spans="1:13" ht="26.1" customHeight="1" thickBot="1" x14ac:dyDescent="0.25">
      <c r="A22" s="118"/>
      <c r="B22" s="155"/>
      <c r="C22" s="143"/>
      <c r="D22" s="129"/>
      <c r="E22" s="146"/>
      <c r="F22" s="124"/>
      <c r="G22" s="142"/>
      <c r="H22" s="124"/>
      <c r="I22" s="139"/>
      <c r="J22" s="142"/>
      <c r="K22" s="129"/>
      <c r="L22" s="274"/>
    </row>
    <row r="23" spans="1:13" ht="26.1" customHeight="1" thickBot="1" x14ac:dyDescent="0.25">
      <c r="A23" s="130"/>
      <c r="B23" s="595" t="s">
        <v>512</v>
      </c>
      <c r="C23" s="595"/>
      <c r="D23" s="595"/>
      <c r="E23" s="595"/>
      <c r="F23" s="595"/>
      <c r="G23" s="595"/>
      <c r="H23" s="595"/>
      <c r="I23" s="597"/>
      <c r="J23" s="131">
        <f>SUM(J8:J22)</f>
        <v>2549000</v>
      </c>
      <c r="K23" s="132"/>
      <c r="L23" s="275"/>
    </row>
  </sheetData>
  <mergeCells count="9">
    <mergeCell ref="B23:I23"/>
    <mergeCell ref="K5:K6"/>
    <mergeCell ref="B7:C7"/>
    <mergeCell ref="A5:A6"/>
    <mergeCell ref="B5:C6"/>
    <mergeCell ref="D5:D6"/>
    <mergeCell ref="E5:E6"/>
    <mergeCell ref="F5:G5"/>
    <mergeCell ref="H5:I5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68DB-657A-480D-8ACB-000DF8E9C89E}">
  <sheetPr>
    <tabColor rgb="FF00B0F0"/>
  </sheetPr>
  <dimension ref="A1:Y34"/>
  <sheetViews>
    <sheetView zoomScaleNormal="100" workbookViewId="0">
      <selection activeCell="A24" sqref="A24"/>
    </sheetView>
  </sheetViews>
  <sheetFormatPr defaultColWidth="10.28515625" defaultRowHeight="23.25" x14ac:dyDescent="0.5"/>
  <cols>
    <col min="1" max="1" width="9.140625" style="305" customWidth="1"/>
    <col min="2" max="2" width="4.140625" style="305" customWidth="1"/>
    <col min="3" max="3" width="7.7109375" style="305" customWidth="1"/>
    <col min="4" max="4" width="4.140625" style="305" customWidth="1"/>
    <col min="5" max="5" width="13.140625" style="305" customWidth="1"/>
    <col min="6" max="6" width="6.7109375" style="305" customWidth="1"/>
    <col min="7" max="7" width="13.140625" style="305" customWidth="1"/>
    <col min="8" max="8" width="3.140625" style="305" customWidth="1"/>
    <col min="9" max="9" width="12.7109375" style="305" customWidth="1"/>
    <col min="10" max="10" width="7.5703125" style="379" customWidth="1"/>
    <col min="11" max="11" width="8" style="305" customWidth="1"/>
    <col min="12" max="12" width="8.28515625" style="305" customWidth="1"/>
    <col min="13" max="13" width="12.85546875" style="305" customWidth="1"/>
    <col min="14" max="15" width="10.28515625" style="305" customWidth="1"/>
    <col min="16" max="16" width="20.85546875" style="305" customWidth="1"/>
    <col min="17" max="17" width="13.28515625" style="305" customWidth="1"/>
    <col min="18" max="20" width="10.28515625" style="305" customWidth="1"/>
    <col min="21" max="21" width="23" style="306" customWidth="1"/>
    <col min="22" max="23" width="10.28515625" style="305" customWidth="1"/>
    <col min="24" max="24" width="23.140625" style="305" customWidth="1"/>
    <col min="25" max="25" width="16.42578125" style="305" customWidth="1"/>
    <col min="26" max="26" width="0.28515625" style="305" customWidth="1"/>
    <col min="27" max="29" width="10.28515625" style="305" customWidth="1"/>
    <col min="30" max="256" width="10.28515625" style="305"/>
    <col min="257" max="257" width="9.140625" style="305" customWidth="1"/>
    <col min="258" max="258" width="4.140625" style="305" customWidth="1"/>
    <col min="259" max="259" width="7.7109375" style="305" customWidth="1"/>
    <col min="260" max="260" width="4.140625" style="305" customWidth="1"/>
    <col min="261" max="261" width="13.140625" style="305" customWidth="1"/>
    <col min="262" max="262" width="6.7109375" style="305" customWidth="1"/>
    <col min="263" max="263" width="13.140625" style="305" customWidth="1"/>
    <col min="264" max="264" width="3.140625" style="305" customWidth="1"/>
    <col min="265" max="265" width="12.7109375" style="305" customWidth="1"/>
    <col min="266" max="266" width="7.5703125" style="305" customWidth="1"/>
    <col min="267" max="267" width="8" style="305" customWidth="1"/>
    <col min="268" max="268" width="8.28515625" style="305" customWidth="1"/>
    <col min="269" max="269" width="12.85546875" style="305" customWidth="1"/>
    <col min="270" max="281" width="0" style="305" hidden="1" customWidth="1"/>
    <col min="282" max="282" width="0.28515625" style="305" customWidth="1"/>
    <col min="283" max="512" width="10.28515625" style="305"/>
    <col min="513" max="513" width="9.140625" style="305" customWidth="1"/>
    <col min="514" max="514" width="4.140625" style="305" customWidth="1"/>
    <col min="515" max="515" width="7.7109375" style="305" customWidth="1"/>
    <col min="516" max="516" width="4.140625" style="305" customWidth="1"/>
    <col min="517" max="517" width="13.140625" style="305" customWidth="1"/>
    <col min="518" max="518" width="6.7109375" style="305" customWidth="1"/>
    <col min="519" max="519" width="13.140625" style="305" customWidth="1"/>
    <col min="520" max="520" width="3.140625" style="305" customWidth="1"/>
    <col min="521" max="521" width="12.7109375" style="305" customWidth="1"/>
    <col min="522" max="522" width="7.5703125" style="305" customWidth="1"/>
    <col min="523" max="523" width="8" style="305" customWidth="1"/>
    <col min="524" max="524" width="8.28515625" style="305" customWidth="1"/>
    <col min="525" max="525" width="12.85546875" style="305" customWidth="1"/>
    <col min="526" max="537" width="0" style="305" hidden="1" customWidth="1"/>
    <col min="538" max="538" width="0.28515625" style="305" customWidth="1"/>
    <col min="539" max="768" width="10.28515625" style="305"/>
    <col min="769" max="769" width="9.140625" style="305" customWidth="1"/>
    <col min="770" max="770" width="4.140625" style="305" customWidth="1"/>
    <col min="771" max="771" width="7.7109375" style="305" customWidth="1"/>
    <col min="772" max="772" width="4.140625" style="305" customWidth="1"/>
    <col min="773" max="773" width="13.140625" style="305" customWidth="1"/>
    <col min="774" max="774" width="6.7109375" style="305" customWidth="1"/>
    <col min="775" max="775" width="13.140625" style="305" customWidth="1"/>
    <col min="776" max="776" width="3.140625" style="305" customWidth="1"/>
    <col min="777" max="777" width="12.7109375" style="305" customWidth="1"/>
    <col min="778" max="778" width="7.5703125" style="305" customWidth="1"/>
    <col min="779" max="779" width="8" style="305" customWidth="1"/>
    <col min="780" max="780" width="8.28515625" style="305" customWidth="1"/>
    <col min="781" max="781" width="12.85546875" style="305" customWidth="1"/>
    <col min="782" max="793" width="0" style="305" hidden="1" customWidth="1"/>
    <col min="794" max="794" width="0.28515625" style="305" customWidth="1"/>
    <col min="795" max="1024" width="10.28515625" style="305"/>
    <col min="1025" max="1025" width="9.140625" style="305" customWidth="1"/>
    <col min="1026" max="1026" width="4.140625" style="305" customWidth="1"/>
    <col min="1027" max="1027" width="7.7109375" style="305" customWidth="1"/>
    <col min="1028" max="1028" width="4.140625" style="305" customWidth="1"/>
    <col min="1029" max="1029" width="13.140625" style="305" customWidth="1"/>
    <col min="1030" max="1030" width="6.7109375" style="305" customWidth="1"/>
    <col min="1031" max="1031" width="13.140625" style="305" customWidth="1"/>
    <col min="1032" max="1032" width="3.140625" style="305" customWidth="1"/>
    <col min="1033" max="1033" width="12.7109375" style="305" customWidth="1"/>
    <col min="1034" max="1034" width="7.5703125" style="305" customWidth="1"/>
    <col min="1035" max="1035" width="8" style="305" customWidth="1"/>
    <col min="1036" max="1036" width="8.28515625" style="305" customWidth="1"/>
    <col min="1037" max="1037" width="12.85546875" style="305" customWidth="1"/>
    <col min="1038" max="1049" width="0" style="305" hidden="1" customWidth="1"/>
    <col min="1050" max="1050" width="0.28515625" style="305" customWidth="1"/>
    <col min="1051" max="1280" width="10.28515625" style="305"/>
    <col min="1281" max="1281" width="9.140625" style="305" customWidth="1"/>
    <col min="1282" max="1282" width="4.140625" style="305" customWidth="1"/>
    <col min="1283" max="1283" width="7.7109375" style="305" customWidth="1"/>
    <col min="1284" max="1284" width="4.140625" style="305" customWidth="1"/>
    <col min="1285" max="1285" width="13.140625" style="305" customWidth="1"/>
    <col min="1286" max="1286" width="6.7109375" style="305" customWidth="1"/>
    <col min="1287" max="1287" width="13.140625" style="305" customWidth="1"/>
    <col min="1288" max="1288" width="3.140625" style="305" customWidth="1"/>
    <col min="1289" max="1289" width="12.7109375" style="305" customWidth="1"/>
    <col min="1290" max="1290" width="7.5703125" style="305" customWidth="1"/>
    <col min="1291" max="1291" width="8" style="305" customWidth="1"/>
    <col min="1292" max="1292" width="8.28515625" style="305" customWidth="1"/>
    <col min="1293" max="1293" width="12.85546875" style="305" customWidth="1"/>
    <col min="1294" max="1305" width="0" style="305" hidden="1" customWidth="1"/>
    <col min="1306" max="1306" width="0.28515625" style="305" customWidth="1"/>
    <col min="1307" max="1536" width="10.28515625" style="305"/>
    <col min="1537" max="1537" width="9.140625" style="305" customWidth="1"/>
    <col min="1538" max="1538" width="4.140625" style="305" customWidth="1"/>
    <col min="1539" max="1539" width="7.7109375" style="305" customWidth="1"/>
    <col min="1540" max="1540" width="4.140625" style="305" customWidth="1"/>
    <col min="1541" max="1541" width="13.140625" style="305" customWidth="1"/>
    <col min="1542" max="1542" width="6.7109375" style="305" customWidth="1"/>
    <col min="1543" max="1543" width="13.140625" style="305" customWidth="1"/>
    <col min="1544" max="1544" width="3.140625" style="305" customWidth="1"/>
    <col min="1545" max="1545" width="12.7109375" style="305" customWidth="1"/>
    <col min="1546" max="1546" width="7.5703125" style="305" customWidth="1"/>
    <col min="1547" max="1547" width="8" style="305" customWidth="1"/>
    <col min="1548" max="1548" width="8.28515625" style="305" customWidth="1"/>
    <col min="1549" max="1549" width="12.85546875" style="305" customWidth="1"/>
    <col min="1550" max="1561" width="0" style="305" hidden="1" customWidth="1"/>
    <col min="1562" max="1562" width="0.28515625" style="305" customWidth="1"/>
    <col min="1563" max="1792" width="10.28515625" style="305"/>
    <col min="1793" max="1793" width="9.140625" style="305" customWidth="1"/>
    <col min="1794" max="1794" width="4.140625" style="305" customWidth="1"/>
    <col min="1795" max="1795" width="7.7109375" style="305" customWidth="1"/>
    <col min="1796" max="1796" width="4.140625" style="305" customWidth="1"/>
    <col min="1797" max="1797" width="13.140625" style="305" customWidth="1"/>
    <col min="1798" max="1798" width="6.7109375" style="305" customWidth="1"/>
    <col min="1799" max="1799" width="13.140625" style="305" customWidth="1"/>
    <col min="1800" max="1800" width="3.140625" style="305" customWidth="1"/>
    <col min="1801" max="1801" width="12.7109375" style="305" customWidth="1"/>
    <col min="1802" max="1802" width="7.5703125" style="305" customWidth="1"/>
    <col min="1803" max="1803" width="8" style="305" customWidth="1"/>
    <col min="1804" max="1804" width="8.28515625" style="305" customWidth="1"/>
    <col min="1805" max="1805" width="12.85546875" style="305" customWidth="1"/>
    <col min="1806" max="1817" width="0" style="305" hidden="1" customWidth="1"/>
    <col min="1818" max="1818" width="0.28515625" style="305" customWidth="1"/>
    <col min="1819" max="2048" width="10.28515625" style="305"/>
    <col min="2049" max="2049" width="9.140625" style="305" customWidth="1"/>
    <col min="2050" max="2050" width="4.140625" style="305" customWidth="1"/>
    <col min="2051" max="2051" width="7.7109375" style="305" customWidth="1"/>
    <col min="2052" max="2052" width="4.140625" style="305" customWidth="1"/>
    <col min="2053" max="2053" width="13.140625" style="305" customWidth="1"/>
    <col min="2054" max="2054" width="6.7109375" style="305" customWidth="1"/>
    <col min="2055" max="2055" width="13.140625" style="305" customWidth="1"/>
    <col min="2056" max="2056" width="3.140625" style="305" customWidth="1"/>
    <col min="2057" max="2057" width="12.7109375" style="305" customWidth="1"/>
    <col min="2058" max="2058" width="7.5703125" style="305" customWidth="1"/>
    <col min="2059" max="2059" width="8" style="305" customWidth="1"/>
    <col min="2060" max="2060" width="8.28515625" style="305" customWidth="1"/>
    <col min="2061" max="2061" width="12.85546875" style="305" customWidth="1"/>
    <col min="2062" max="2073" width="0" style="305" hidden="1" customWidth="1"/>
    <col min="2074" max="2074" width="0.28515625" style="305" customWidth="1"/>
    <col min="2075" max="2304" width="10.28515625" style="305"/>
    <col min="2305" max="2305" width="9.140625" style="305" customWidth="1"/>
    <col min="2306" max="2306" width="4.140625" style="305" customWidth="1"/>
    <col min="2307" max="2307" width="7.7109375" style="305" customWidth="1"/>
    <col min="2308" max="2308" width="4.140625" style="305" customWidth="1"/>
    <col min="2309" max="2309" width="13.140625" style="305" customWidth="1"/>
    <col min="2310" max="2310" width="6.7109375" style="305" customWidth="1"/>
    <col min="2311" max="2311" width="13.140625" style="305" customWidth="1"/>
    <col min="2312" max="2312" width="3.140625" style="305" customWidth="1"/>
    <col min="2313" max="2313" width="12.7109375" style="305" customWidth="1"/>
    <col min="2314" max="2314" width="7.5703125" style="305" customWidth="1"/>
    <col min="2315" max="2315" width="8" style="305" customWidth="1"/>
    <col min="2316" max="2316" width="8.28515625" style="305" customWidth="1"/>
    <col min="2317" max="2317" width="12.85546875" style="305" customWidth="1"/>
    <col min="2318" max="2329" width="0" style="305" hidden="1" customWidth="1"/>
    <col min="2330" max="2330" width="0.28515625" style="305" customWidth="1"/>
    <col min="2331" max="2560" width="10.28515625" style="305"/>
    <col min="2561" max="2561" width="9.140625" style="305" customWidth="1"/>
    <col min="2562" max="2562" width="4.140625" style="305" customWidth="1"/>
    <col min="2563" max="2563" width="7.7109375" style="305" customWidth="1"/>
    <col min="2564" max="2564" width="4.140625" style="305" customWidth="1"/>
    <col min="2565" max="2565" width="13.140625" style="305" customWidth="1"/>
    <col min="2566" max="2566" width="6.7109375" style="305" customWidth="1"/>
    <col min="2567" max="2567" width="13.140625" style="305" customWidth="1"/>
    <col min="2568" max="2568" width="3.140625" style="305" customWidth="1"/>
    <col min="2569" max="2569" width="12.7109375" style="305" customWidth="1"/>
    <col min="2570" max="2570" width="7.5703125" style="305" customWidth="1"/>
    <col min="2571" max="2571" width="8" style="305" customWidth="1"/>
    <col min="2572" max="2572" width="8.28515625" style="305" customWidth="1"/>
    <col min="2573" max="2573" width="12.85546875" style="305" customWidth="1"/>
    <col min="2574" max="2585" width="0" style="305" hidden="1" customWidth="1"/>
    <col min="2586" max="2586" width="0.28515625" style="305" customWidth="1"/>
    <col min="2587" max="2816" width="10.28515625" style="305"/>
    <col min="2817" max="2817" width="9.140625" style="305" customWidth="1"/>
    <col min="2818" max="2818" width="4.140625" style="305" customWidth="1"/>
    <col min="2819" max="2819" width="7.7109375" style="305" customWidth="1"/>
    <col min="2820" max="2820" width="4.140625" style="305" customWidth="1"/>
    <col min="2821" max="2821" width="13.140625" style="305" customWidth="1"/>
    <col min="2822" max="2822" width="6.7109375" style="305" customWidth="1"/>
    <col min="2823" max="2823" width="13.140625" style="305" customWidth="1"/>
    <col min="2824" max="2824" width="3.140625" style="305" customWidth="1"/>
    <col min="2825" max="2825" width="12.7109375" style="305" customWidth="1"/>
    <col min="2826" max="2826" width="7.5703125" style="305" customWidth="1"/>
    <col min="2827" max="2827" width="8" style="305" customWidth="1"/>
    <col min="2828" max="2828" width="8.28515625" style="305" customWidth="1"/>
    <col min="2829" max="2829" width="12.85546875" style="305" customWidth="1"/>
    <col min="2830" max="2841" width="0" style="305" hidden="1" customWidth="1"/>
    <col min="2842" max="2842" width="0.28515625" style="305" customWidth="1"/>
    <col min="2843" max="3072" width="10.28515625" style="305"/>
    <col min="3073" max="3073" width="9.140625" style="305" customWidth="1"/>
    <col min="3074" max="3074" width="4.140625" style="305" customWidth="1"/>
    <col min="3075" max="3075" width="7.7109375" style="305" customWidth="1"/>
    <col min="3076" max="3076" width="4.140625" style="305" customWidth="1"/>
    <col min="3077" max="3077" width="13.140625" style="305" customWidth="1"/>
    <col min="3078" max="3078" width="6.7109375" style="305" customWidth="1"/>
    <col min="3079" max="3079" width="13.140625" style="305" customWidth="1"/>
    <col min="3080" max="3080" width="3.140625" style="305" customWidth="1"/>
    <col min="3081" max="3081" width="12.7109375" style="305" customWidth="1"/>
    <col min="3082" max="3082" width="7.5703125" style="305" customWidth="1"/>
    <col min="3083" max="3083" width="8" style="305" customWidth="1"/>
    <col min="3084" max="3084" width="8.28515625" style="305" customWidth="1"/>
    <col min="3085" max="3085" width="12.85546875" style="305" customWidth="1"/>
    <col min="3086" max="3097" width="0" style="305" hidden="1" customWidth="1"/>
    <col min="3098" max="3098" width="0.28515625" style="305" customWidth="1"/>
    <col min="3099" max="3328" width="10.28515625" style="305"/>
    <col min="3329" max="3329" width="9.140625" style="305" customWidth="1"/>
    <col min="3330" max="3330" width="4.140625" style="305" customWidth="1"/>
    <col min="3331" max="3331" width="7.7109375" style="305" customWidth="1"/>
    <col min="3332" max="3332" width="4.140625" style="305" customWidth="1"/>
    <col min="3333" max="3333" width="13.140625" style="305" customWidth="1"/>
    <col min="3334" max="3334" width="6.7109375" style="305" customWidth="1"/>
    <col min="3335" max="3335" width="13.140625" style="305" customWidth="1"/>
    <col min="3336" max="3336" width="3.140625" style="305" customWidth="1"/>
    <col min="3337" max="3337" width="12.7109375" style="305" customWidth="1"/>
    <col min="3338" max="3338" width="7.5703125" style="305" customWidth="1"/>
    <col min="3339" max="3339" width="8" style="305" customWidth="1"/>
    <col min="3340" max="3340" width="8.28515625" style="305" customWidth="1"/>
    <col min="3341" max="3341" width="12.85546875" style="305" customWidth="1"/>
    <col min="3342" max="3353" width="0" style="305" hidden="1" customWidth="1"/>
    <col min="3354" max="3354" width="0.28515625" style="305" customWidth="1"/>
    <col min="3355" max="3584" width="10.28515625" style="305"/>
    <col min="3585" max="3585" width="9.140625" style="305" customWidth="1"/>
    <col min="3586" max="3586" width="4.140625" style="305" customWidth="1"/>
    <col min="3587" max="3587" width="7.7109375" style="305" customWidth="1"/>
    <col min="3588" max="3588" width="4.140625" style="305" customWidth="1"/>
    <col min="3589" max="3589" width="13.140625" style="305" customWidth="1"/>
    <col min="3590" max="3590" width="6.7109375" style="305" customWidth="1"/>
    <col min="3591" max="3591" width="13.140625" style="305" customWidth="1"/>
    <col min="3592" max="3592" width="3.140625" style="305" customWidth="1"/>
    <col min="3593" max="3593" width="12.7109375" style="305" customWidth="1"/>
    <col min="3594" max="3594" width="7.5703125" style="305" customWidth="1"/>
    <col min="3595" max="3595" width="8" style="305" customWidth="1"/>
    <col min="3596" max="3596" width="8.28515625" style="305" customWidth="1"/>
    <col min="3597" max="3597" width="12.85546875" style="305" customWidth="1"/>
    <col min="3598" max="3609" width="0" style="305" hidden="1" customWidth="1"/>
    <col min="3610" max="3610" width="0.28515625" style="305" customWidth="1"/>
    <col min="3611" max="3840" width="10.28515625" style="305"/>
    <col min="3841" max="3841" width="9.140625" style="305" customWidth="1"/>
    <col min="3842" max="3842" width="4.140625" style="305" customWidth="1"/>
    <col min="3843" max="3843" width="7.7109375" style="305" customWidth="1"/>
    <col min="3844" max="3844" width="4.140625" style="305" customWidth="1"/>
    <col min="3845" max="3845" width="13.140625" style="305" customWidth="1"/>
    <col min="3846" max="3846" width="6.7109375" style="305" customWidth="1"/>
    <col min="3847" max="3847" width="13.140625" style="305" customWidth="1"/>
    <col min="3848" max="3848" width="3.140625" style="305" customWidth="1"/>
    <col min="3849" max="3849" width="12.7109375" style="305" customWidth="1"/>
    <col min="3850" max="3850" width="7.5703125" style="305" customWidth="1"/>
    <col min="3851" max="3851" width="8" style="305" customWidth="1"/>
    <col min="3852" max="3852" width="8.28515625" style="305" customWidth="1"/>
    <col min="3853" max="3853" width="12.85546875" style="305" customWidth="1"/>
    <col min="3854" max="3865" width="0" style="305" hidden="1" customWidth="1"/>
    <col min="3866" max="3866" width="0.28515625" style="305" customWidth="1"/>
    <col min="3867" max="4096" width="10.28515625" style="305"/>
    <col min="4097" max="4097" width="9.140625" style="305" customWidth="1"/>
    <col min="4098" max="4098" width="4.140625" style="305" customWidth="1"/>
    <col min="4099" max="4099" width="7.7109375" style="305" customWidth="1"/>
    <col min="4100" max="4100" width="4.140625" style="305" customWidth="1"/>
    <col min="4101" max="4101" width="13.140625" style="305" customWidth="1"/>
    <col min="4102" max="4102" width="6.7109375" style="305" customWidth="1"/>
    <col min="4103" max="4103" width="13.140625" style="305" customWidth="1"/>
    <col min="4104" max="4104" width="3.140625" style="305" customWidth="1"/>
    <col min="4105" max="4105" width="12.7109375" style="305" customWidth="1"/>
    <col min="4106" max="4106" width="7.5703125" style="305" customWidth="1"/>
    <col min="4107" max="4107" width="8" style="305" customWidth="1"/>
    <col min="4108" max="4108" width="8.28515625" style="305" customWidth="1"/>
    <col min="4109" max="4109" width="12.85546875" style="305" customWidth="1"/>
    <col min="4110" max="4121" width="0" style="305" hidden="1" customWidth="1"/>
    <col min="4122" max="4122" width="0.28515625" style="305" customWidth="1"/>
    <col min="4123" max="4352" width="10.28515625" style="305"/>
    <col min="4353" max="4353" width="9.140625" style="305" customWidth="1"/>
    <col min="4354" max="4354" width="4.140625" style="305" customWidth="1"/>
    <col min="4355" max="4355" width="7.7109375" style="305" customWidth="1"/>
    <col min="4356" max="4356" width="4.140625" style="305" customWidth="1"/>
    <col min="4357" max="4357" width="13.140625" style="305" customWidth="1"/>
    <col min="4358" max="4358" width="6.7109375" style="305" customWidth="1"/>
    <col min="4359" max="4359" width="13.140625" style="305" customWidth="1"/>
    <col min="4360" max="4360" width="3.140625" style="305" customWidth="1"/>
    <col min="4361" max="4361" width="12.7109375" style="305" customWidth="1"/>
    <col min="4362" max="4362" width="7.5703125" style="305" customWidth="1"/>
    <col min="4363" max="4363" width="8" style="305" customWidth="1"/>
    <col min="4364" max="4364" width="8.28515625" style="305" customWidth="1"/>
    <col min="4365" max="4365" width="12.85546875" style="305" customWidth="1"/>
    <col min="4366" max="4377" width="0" style="305" hidden="1" customWidth="1"/>
    <col min="4378" max="4378" width="0.28515625" style="305" customWidth="1"/>
    <col min="4379" max="4608" width="10.28515625" style="305"/>
    <col min="4609" max="4609" width="9.140625" style="305" customWidth="1"/>
    <col min="4610" max="4610" width="4.140625" style="305" customWidth="1"/>
    <col min="4611" max="4611" width="7.7109375" style="305" customWidth="1"/>
    <col min="4612" max="4612" width="4.140625" style="305" customWidth="1"/>
    <col min="4613" max="4613" width="13.140625" style="305" customWidth="1"/>
    <col min="4614" max="4614" width="6.7109375" style="305" customWidth="1"/>
    <col min="4615" max="4615" width="13.140625" style="305" customWidth="1"/>
    <col min="4616" max="4616" width="3.140625" style="305" customWidth="1"/>
    <col min="4617" max="4617" width="12.7109375" style="305" customWidth="1"/>
    <col min="4618" max="4618" width="7.5703125" style="305" customWidth="1"/>
    <col min="4619" max="4619" width="8" style="305" customWidth="1"/>
    <col min="4620" max="4620" width="8.28515625" style="305" customWidth="1"/>
    <col min="4621" max="4621" width="12.85546875" style="305" customWidth="1"/>
    <col min="4622" max="4633" width="0" style="305" hidden="1" customWidth="1"/>
    <col min="4634" max="4634" width="0.28515625" style="305" customWidth="1"/>
    <col min="4635" max="4864" width="10.28515625" style="305"/>
    <col min="4865" max="4865" width="9.140625" style="305" customWidth="1"/>
    <col min="4866" max="4866" width="4.140625" style="305" customWidth="1"/>
    <col min="4867" max="4867" width="7.7109375" style="305" customWidth="1"/>
    <col min="4868" max="4868" width="4.140625" style="305" customWidth="1"/>
    <col min="4869" max="4869" width="13.140625" style="305" customWidth="1"/>
    <col min="4870" max="4870" width="6.7109375" style="305" customWidth="1"/>
    <col min="4871" max="4871" width="13.140625" style="305" customWidth="1"/>
    <col min="4872" max="4872" width="3.140625" style="305" customWidth="1"/>
    <col min="4873" max="4873" width="12.7109375" style="305" customWidth="1"/>
    <col min="4874" max="4874" width="7.5703125" style="305" customWidth="1"/>
    <col min="4875" max="4875" width="8" style="305" customWidth="1"/>
    <col min="4876" max="4876" width="8.28515625" style="305" customWidth="1"/>
    <col min="4877" max="4877" width="12.85546875" style="305" customWidth="1"/>
    <col min="4878" max="4889" width="0" style="305" hidden="1" customWidth="1"/>
    <col min="4890" max="4890" width="0.28515625" style="305" customWidth="1"/>
    <col min="4891" max="5120" width="10.28515625" style="305"/>
    <col min="5121" max="5121" width="9.140625" style="305" customWidth="1"/>
    <col min="5122" max="5122" width="4.140625" style="305" customWidth="1"/>
    <col min="5123" max="5123" width="7.7109375" style="305" customWidth="1"/>
    <col min="5124" max="5124" width="4.140625" style="305" customWidth="1"/>
    <col min="5125" max="5125" width="13.140625" style="305" customWidth="1"/>
    <col min="5126" max="5126" width="6.7109375" style="305" customWidth="1"/>
    <col min="5127" max="5127" width="13.140625" style="305" customWidth="1"/>
    <col min="5128" max="5128" width="3.140625" style="305" customWidth="1"/>
    <col min="5129" max="5129" width="12.7109375" style="305" customWidth="1"/>
    <col min="5130" max="5130" width="7.5703125" style="305" customWidth="1"/>
    <col min="5131" max="5131" width="8" style="305" customWidth="1"/>
    <col min="5132" max="5132" width="8.28515625" style="305" customWidth="1"/>
    <col min="5133" max="5133" width="12.85546875" style="305" customWidth="1"/>
    <col min="5134" max="5145" width="0" style="305" hidden="1" customWidth="1"/>
    <col min="5146" max="5146" width="0.28515625" style="305" customWidth="1"/>
    <col min="5147" max="5376" width="10.28515625" style="305"/>
    <col min="5377" max="5377" width="9.140625" style="305" customWidth="1"/>
    <col min="5378" max="5378" width="4.140625" style="305" customWidth="1"/>
    <col min="5379" max="5379" width="7.7109375" style="305" customWidth="1"/>
    <col min="5380" max="5380" width="4.140625" style="305" customWidth="1"/>
    <col min="5381" max="5381" width="13.140625" style="305" customWidth="1"/>
    <col min="5382" max="5382" width="6.7109375" style="305" customWidth="1"/>
    <col min="5383" max="5383" width="13.140625" style="305" customWidth="1"/>
    <col min="5384" max="5384" width="3.140625" style="305" customWidth="1"/>
    <col min="5385" max="5385" width="12.7109375" style="305" customWidth="1"/>
    <col min="5386" max="5386" width="7.5703125" style="305" customWidth="1"/>
    <col min="5387" max="5387" width="8" style="305" customWidth="1"/>
    <col min="5388" max="5388" width="8.28515625" style="305" customWidth="1"/>
    <col min="5389" max="5389" width="12.85546875" style="305" customWidth="1"/>
    <col min="5390" max="5401" width="0" style="305" hidden="1" customWidth="1"/>
    <col min="5402" max="5402" width="0.28515625" style="305" customWidth="1"/>
    <col min="5403" max="5632" width="10.28515625" style="305"/>
    <col min="5633" max="5633" width="9.140625" style="305" customWidth="1"/>
    <col min="5634" max="5634" width="4.140625" style="305" customWidth="1"/>
    <col min="5635" max="5635" width="7.7109375" style="305" customWidth="1"/>
    <col min="5636" max="5636" width="4.140625" style="305" customWidth="1"/>
    <col min="5637" max="5637" width="13.140625" style="305" customWidth="1"/>
    <col min="5638" max="5638" width="6.7109375" style="305" customWidth="1"/>
    <col min="5639" max="5639" width="13.140625" style="305" customWidth="1"/>
    <col min="5640" max="5640" width="3.140625" style="305" customWidth="1"/>
    <col min="5641" max="5641" width="12.7109375" style="305" customWidth="1"/>
    <col min="5642" max="5642" width="7.5703125" style="305" customWidth="1"/>
    <col min="5643" max="5643" width="8" style="305" customWidth="1"/>
    <col min="5644" max="5644" width="8.28515625" style="305" customWidth="1"/>
    <col min="5645" max="5645" width="12.85546875" style="305" customWidth="1"/>
    <col min="5646" max="5657" width="0" style="305" hidden="1" customWidth="1"/>
    <col min="5658" max="5658" width="0.28515625" style="305" customWidth="1"/>
    <col min="5659" max="5888" width="10.28515625" style="305"/>
    <col min="5889" max="5889" width="9.140625" style="305" customWidth="1"/>
    <col min="5890" max="5890" width="4.140625" style="305" customWidth="1"/>
    <col min="5891" max="5891" width="7.7109375" style="305" customWidth="1"/>
    <col min="5892" max="5892" width="4.140625" style="305" customWidth="1"/>
    <col min="5893" max="5893" width="13.140625" style="305" customWidth="1"/>
    <col min="5894" max="5894" width="6.7109375" style="305" customWidth="1"/>
    <col min="5895" max="5895" width="13.140625" style="305" customWidth="1"/>
    <col min="5896" max="5896" width="3.140625" style="305" customWidth="1"/>
    <col min="5897" max="5897" width="12.7109375" style="305" customWidth="1"/>
    <col min="5898" max="5898" width="7.5703125" style="305" customWidth="1"/>
    <col min="5899" max="5899" width="8" style="305" customWidth="1"/>
    <col min="5900" max="5900" width="8.28515625" style="305" customWidth="1"/>
    <col min="5901" max="5901" width="12.85546875" style="305" customWidth="1"/>
    <col min="5902" max="5913" width="0" style="305" hidden="1" customWidth="1"/>
    <col min="5914" max="5914" width="0.28515625" style="305" customWidth="1"/>
    <col min="5915" max="6144" width="10.28515625" style="305"/>
    <col min="6145" max="6145" width="9.140625" style="305" customWidth="1"/>
    <col min="6146" max="6146" width="4.140625" style="305" customWidth="1"/>
    <col min="6147" max="6147" width="7.7109375" style="305" customWidth="1"/>
    <col min="6148" max="6148" width="4.140625" style="305" customWidth="1"/>
    <col min="6149" max="6149" width="13.140625" style="305" customWidth="1"/>
    <col min="6150" max="6150" width="6.7109375" style="305" customWidth="1"/>
    <col min="6151" max="6151" width="13.140625" style="305" customWidth="1"/>
    <col min="6152" max="6152" width="3.140625" style="305" customWidth="1"/>
    <col min="6153" max="6153" width="12.7109375" style="305" customWidth="1"/>
    <col min="6154" max="6154" width="7.5703125" style="305" customWidth="1"/>
    <col min="6155" max="6155" width="8" style="305" customWidth="1"/>
    <col min="6156" max="6156" width="8.28515625" style="305" customWidth="1"/>
    <col min="6157" max="6157" width="12.85546875" style="305" customWidth="1"/>
    <col min="6158" max="6169" width="0" style="305" hidden="1" customWidth="1"/>
    <col min="6170" max="6170" width="0.28515625" style="305" customWidth="1"/>
    <col min="6171" max="6400" width="10.28515625" style="305"/>
    <col min="6401" max="6401" width="9.140625" style="305" customWidth="1"/>
    <col min="6402" max="6402" width="4.140625" style="305" customWidth="1"/>
    <col min="6403" max="6403" width="7.7109375" style="305" customWidth="1"/>
    <col min="6404" max="6404" width="4.140625" style="305" customWidth="1"/>
    <col min="6405" max="6405" width="13.140625" style="305" customWidth="1"/>
    <col min="6406" max="6406" width="6.7109375" style="305" customWidth="1"/>
    <col min="6407" max="6407" width="13.140625" style="305" customWidth="1"/>
    <col min="6408" max="6408" width="3.140625" style="305" customWidth="1"/>
    <col min="6409" max="6409" width="12.7109375" style="305" customWidth="1"/>
    <col min="6410" max="6410" width="7.5703125" style="305" customWidth="1"/>
    <col min="6411" max="6411" width="8" style="305" customWidth="1"/>
    <col min="6412" max="6412" width="8.28515625" style="305" customWidth="1"/>
    <col min="6413" max="6413" width="12.85546875" style="305" customWidth="1"/>
    <col min="6414" max="6425" width="0" style="305" hidden="1" customWidth="1"/>
    <col min="6426" max="6426" width="0.28515625" style="305" customWidth="1"/>
    <col min="6427" max="6656" width="10.28515625" style="305"/>
    <col min="6657" max="6657" width="9.140625" style="305" customWidth="1"/>
    <col min="6658" max="6658" width="4.140625" style="305" customWidth="1"/>
    <col min="6659" max="6659" width="7.7109375" style="305" customWidth="1"/>
    <col min="6660" max="6660" width="4.140625" style="305" customWidth="1"/>
    <col min="6661" max="6661" width="13.140625" style="305" customWidth="1"/>
    <col min="6662" max="6662" width="6.7109375" style="305" customWidth="1"/>
    <col min="6663" max="6663" width="13.140625" style="305" customWidth="1"/>
    <col min="6664" max="6664" width="3.140625" style="305" customWidth="1"/>
    <col min="6665" max="6665" width="12.7109375" style="305" customWidth="1"/>
    <col min="6666" max="6666" width="7.5703125" style="305" customWidth="1"/>
    <col min="6667" max="6667" width="8" style="305" customWidth="1"/>
    <col min="6668" max="6668" width="8.28515625" style="305" customWidth="1"/>
    <col min="6669" max="6669" width="12.85546875" style="305" customWidth="1"/>
    <col min="6670" max="6681" width="0" style="305" hidden="1" customWidth="1"/>
    <col min="6682" max="6682" width="0.28515625" style="305" customWidth="1"/>
    <col min="6683" max="6912" width="10.28515625" style="305"/>
    <col min="6913" max="6913" width="9.140625" style="305" customWidth="1"/>
    <col min="6914" max="6914" width="4.140625" style="305" customWidth="1"/>
    <col min="6915" max="6915" width="7.7109375" style="305" customWidth="1"/>
    <col min="6916" max="6916" width="4.140625" style="305" customWidth="1"/>
    <col min="6917" max="6917" width="13.140625" style="305" customWidth="1"/>
    <col min="6918" max="6918" width="6.7109375" style="305" customWidth="1"/>
    <col min="6919" max="6919" width="13.140625" style="305" customWidth="1"/>
    <col min="6920" max="6920" width="3.140625" style="305" customWidth="1"/>
    <col min="6921" max="6921" width="12.7109375" style="305" customWidth="1"/>
    <col min="6922" max="6922" width="7.5703125" style="305" customWidth="1"/>
    <col min="6923" max="6923" width="8" style="305" customWidth="1"/>
    <col min="6924" max="6924" width="8.28515625" style="305" customWidth="1"/>
    <col min="6925" max="6925" width="12.85546875" style="305" customWidth="1"/>
    <col min="6926" max="6937" width="0" style="305" hidden="1" customWidth="1"/>
    <col min="6938" max="6938" width="0.28515625" style="305" customWidth="1"/>
    <col min="6939" max="7168" width="10.28515625" style="305"/>
    <col min="7169" max="7169" width="9.140625" style="305" customWidth="1"/>
    <col min="7170" max="7170" width="4.140625" style="305" customWidth="1"/>
    <col min="7171" max="7171" width="7.7109375" style="305" customWidth="1"/>
    <col min="7172" max="7172" width="4.140625" style="305" customWidth="1"/>
    <col min="7173" max="7173" width="13.140625" style="305" customWidth="1"/>
    <col min="7174" max="7174" width="6.7109375" style="305" customWidth="1"/>
    <col min="7175" max="7175" width="13.140625" style="305" customWidth="1"/>
    <col min="7176" max="7176" width="3.140625" style="305" customWidth="1"/>
    <col min="7177" max="7177" width="12.7109375" style="305" customWidth="1"/>
    <col min="7178" max="7178" width="7.5703125" style="305" customWidth="1"/>
    <col min="7179" max="7179" width="8" style="305" customWidth="1"/>
    <col min="7180" max="7180" width="8.28515625" style="305" customWidth="1"/>
    <col min="7181" max="7181" width="12.85546875" style="305" customWidth="1"/>
    <col min="7182" max="7193" width="0" style="305" hidden="1" customWidth="1"/>
    <col min="7194" max="7194" width="0.28515625" style="305" customWidth="1"/>
    <col min="7195" max="7424" width="10.28515625" style="305"/>
    <col min="7425" max="7425" width="9.140625" style="305" customWidth="1"/>
    <col min="7426" max="7426" width="4.140625" style="305" customWidth="1"/>
    <col min="7427" max="7427" width="7.7109375" style="305" customWidth="1"/>
    <col min="7428" max="7428" width="4.140625" style="305" customWidth="1"/>
    <col min="7429" max="7429" width="13.140625" style="305" customWidth="1"/>
    <col min="7430" max="7430" width="6.7109375" style="305" customWidth="1"/>
    <col min="7431" max="7431" width="13.140625" style="305" customWidth="1"/>
    <col min="7432" max="7432" width="3.140625" style="305" customWidth="1"/>
    <col min="7433" max="7433" width="12.7109375" style="305" customWidth="1"/>
    <col min="7434" max="7434" width="7.5703125" style="305" customWidth="1"/>
    <col min="7435" max="7435" width="8" style="305" customWidth="1"/>
    <col min="7436" max="7436" width="8.28515625" style="305" customWidth="1"/>
    <col min="7437" max="7437" width="12.85546875" style="305" customWidth="1"/>
    <col min="7438" max="7449" width="0" style="305" hidden="1" customWidth="1"/>
    <col min="7450" max="7450" width="0.28515625" style="305" customWidth="1"/>
    <col min="7451" max="7680" width="10.28515625" style="305"/>
    <col min="7681" max="7681" width="9.140625" style="305" customWidth="1"/>
    <col min="7682" max="7682" width="4.140625" style="305" customWidth="1"/>
    <col min="7683" max="7683" width="7.7109375" style="305" customWidth="1"/>
    <col min="7684" max="7684" width="4.140625" style="305" customWidth="1"/>
    <col min="7685" max="7685" width="13.140625" style="305" customWidth="1"/>
    <col min="7686" max="7686" width="6.7109375" style="305" customWidth="1"/>
    <col min="7687" max="7687" width="13.140625" style="305" customWidth="1"/>
    <col min="7688" max="7688" width="3.140625" style="305" customWidth="1"/>
    <col min="7689" max="7689" width="12.7109375" style="305" customWidth="1"/>
    <col min="7690" max="7690" width="7.5703125" style="305" customWidth="1"/>
    <col min="7691" max="7691" width="8" style="305" customWidth="1"/>
    <col min="7692" max="7692" width="8.28515625" style="305" customWidth="1"/>
    <col min="7693" max="7693" width="12.85546875" style="305" customWidth="1"/>
    <col min="7694" max="7705" width="0" style="305" hidden="1" customWidth="1"/>
    <col min="7706" max="7706" width="0.28515625" style="305" customWidth="1"/>
    <col min="7707" max="7936" width="10.28515625" style="305"/>
    <col min="7937" max="7937" width="9.140625" style="305" customWidth="1"/>
    <col min="7938" max="7938" width="4.140625" style="305" customWidth="1"/>
    <col min="7939" max="7939" width="7.7109375" style="305" customWidth="1"/>
    <col min="7940" max="7940" width="4.140625" style="305" customWidth="1"/>
    <col min="7941" max="7941" width="13.140625" style="305" customWidth="1"/>
    <col min="7942" max="7942" width="6.7109375" style="305" customWidth="1"/>
    <col min="7943" max="7943" width="13.140625" style="305" customWidth="1"/>
    <col min="7944" max="7944" width="3.140625" style="305" customWidth="1"/>
    <col min="7945" max="7945" width="12.7109375" style="305" customWidth="1"/>
    <col min="7946" max="7946" width="7.5703125" style="305" customWidth="1"/>
    <col min="7947" max="7947" width="8" style="305" customWidth="1"/>
    <col min="7948" max="7948" width="8.28515625" style="305" customWidth="1"/>
    <col min="7949" max="7949" width="12.85546875" style="305" customWidth="1"/>
    <col min="7950" max="7961" width="0" style="305" hidden="1" customWidth="1"/>
    <col min="7962" max="7962" width="0.28515625" style="305" customWidth="1"/>
    <col min="7963" max="8192" width="10.28515625" style="305"/>
    <col min="8193" max="8193" width="9.140625" style="305" customWidth="1"/>
    <col min="8194" max="8194" width="4.140625" style="305" customWidth="1"/>
    <col min="8195" max="8195" width="7.7109375" style="305" customWidth="1"/>
    <col min="8196" max="8196" width="4.140625" style="305" customWidth="1"/>
    <col min="8197" max="8197" width="13.140625" style="305" customWidth="1"/>
    <col min="8198" max="8198" width="6.7109375" style="305" customWidth="1"/>
    <col min="8199" max="8199" width="13.140625" style="305" customWidth="1"/>
    <col min="8200" max="8200" width="3.140625" style="305" customWidth="1"/>
    <col min="8201" max="8201" width="12.7109375" style="305" customWidth="1"/>
    <col min="8202" max="8202" width="7.5703125" style="305" customWidth="1"/>
    <col min="8203" max="8203" width="8" style="305" customWidth="1"/>
    <col min="8204" max="8204" width="8.28515625" style="305" customWidth="1"/>
    <col min="8205" max="8205" width="12.85546875" style="305" customWidth="1"/>
    <col min="8206" max="8217" width="0" style="305" hidden="1" customWidth="1"/>
    <col min="8218" max="8218" width="0.28515625" style="305" customWidth="1"/>
    <col min="8219" max="8448" width="10.28515625" style="305"/>
    <col min="8449" max="8449" width="9.140625" style="305" customWidth="1"/>
    <col min="8450" max="8450" width="4.140625" style="305" customWidth="1"/>
    <col min="8451" max="8451" width="7.7109375" style="305" customWidth="1"/>
    <col min="8452" max="8452" width="4.140625" style="305" customWidth="1"/>
    <col min="8453" max="8453" width="13.140625" style="305" customWidth="1"/>
    <col min="8454" max="8454" width="6.7109375" style="305" customWidth="1"/>
    <col min="8455" max="8455" width="13.140625" style="305" customWidth="1"/>
    <col min="8456" max="8456" width="3.140625" style="305" customWidth="1"/>
    <col min="8457" max="8457" width="12.7109375" style="305" customWidth="1"/>
    <col min="8458" max="8458" width="7.5703125" style="305" customWidth="1"/>
    <col min="8459" max="8459" width="8" style="305" customWidth="1"/>
    <col min="8460" max="8460" width="8.28515625" style="305" customWidth="1"/>
    <col min="8461" max="8461" width="12.85546875" style="305" customWidth="1"/>
    <col min="8462" max="8473" width="0" style="305" hidden="1" customWidth="1"/>
    <col min="8474" max="8474" width="0.28515625" style="305" customWidth="1"/>
    <col min="8475" max="8704" width="10.28515625" style="305"/>
    <col min="8705" max="8705" width="9.140625" style="305" customWidth="1"/>
    <col min="8706" max="8706" width="4.140625" style="305" customWidth="1"/>
    <col min="8707" max="8707" width="7.7109375" style="305" customWidth="1"/>
    <col min="8708" max="8708" width="4.140625" style="305" customWidth="1"/>
    <col min="8709" max="8709" width="13.140625" style="305" customWidth="1"/>
    <col min="8710" max="8710" width="6.7109375" style="305" customWidth="1"/>
    <col min="8711" max="8711" width="13.140625" style="305" customWidth="1"/>
    <col min="8712" max="8712" width="3.140625" style="305" customWidth="1"/>
    <col min="8713" max="8713" width="12.7109375" style="305" customWidth="1"/>
    <col min="8714" max="8714" width="7.5703125" style="305" customWidth="1"/>
    <col min="8715" max="8715" width="8" style="305" customWidth="1"/>
    <col min="8716" max="8716" width="8.28515625" style="305" customWidth="1"/>
    <col min="8717" max="8717" width="12.85546875" style="305" customWidth="1"/>
    <col min="8718" max="8729" width="0" style="305" hidden="1" customWidth="1"/>
    <col min="8730" max="8730" width="0.28515625" style="305" customWidth="1"/>
    <col min="8731" max="8960" width="10.28515625" style="305"/>
    <col min="8961" max="8961" width="9.140625" style="305" customWidth="1"/>
    <col min="8962" max="8962" width="4.140625" style="305" customWidth="1"/>
    <col min="8963" max="8963" width="7.7109375" style="305" customWidth="1"/>
    <col min="8964" max="8964" width="4.140625" style="305" customWidth="1"/>
    <col min="8965" max="8965" width="13.140625" style="305" customWidth="1"/>
    <col min="8966" max="8966" width="6.7109375" style="305" customWidth="1"/>
    <col min="8967" max="8967" width="13.140625" style="305" customWidth="1"/>
    <col min="8968" max="8968" width="3.140625" style="305" customWidth="1"/>
    <col min="8969" max="8969" width="12.7109375" style="305" customWidth="1"/>
    <col min="8970" max="8970" width="7.5703125" style="305" customWidth="1"/>
    <col min="8971" max="8971" width="8" style="305" customWidth="1"/>
    <col min="8972" max="8972" width="8.28515625" style="305" customWidth="1"/>
    <col min="8973" max="8973" width="12.85546875" style="305" customWidth="1"/>
    <col min="8974" max="8985" width="0" style="305" hidden="1" customWidth="1"/>
    <col min="8986" max="8986" width="0.28515625" style="305" customWidth="1"/>
    <col min="8987" max="9216" width="10.28515625" style="305"/>
    <col min="9217" max="9217" width="9.140625" style="305" customWidth="1"/>
    <col min="9218" max="9218" width="4.140625" style="305" customWidth="1"/>
    <col min="9219" max="9219" width="7.7109375" style="305" customWidth="1"/>
    <col min="9220" max="9220" width="4.140625" style="305" customWidth="1"/>
    <col min="9221" max="9221" width="13.140625" style="305" customWidth="1"/>
    <col min="9222" max="9222" width="6.7109375" style="305" customWidth="1"/>
    <col min="9223" max="9223" width="13.140625" style="305" customWidth="1"/>
    <col min="9224" max="9224" width="3.140625" style="305" customWidth="1"/>
    <col min="9225" max="9225" width="12.7109375" style="305" customWidth="1"/>
    <col min="9226" max="9226" width="7.5703125" style="305" customWidth="1"/>
    <col min="9227" max="9227" width="8" style="305" customWidth="1"/>
    <col min="9228" max="9228" width="8.28515625" style="305" customWidth="1"/>
    <col min="9229" max="9229" width="12.85546875" style="305" customWidth="1"/>
    <col min="9230" max="9241" width="0" style="305" hidden="1" customWidth="1"/>
    <col min="9242" max="9242" width="0.28515625" style="305" customWidth="1"/>
    <col min="9243" max="9472" width="10.28515625" style="305"/>
    <col min="9473" max="9473" width="9.140625" style="305" customWidth="1"/>
    <col min="9474" max="9474" width="4.140625" style="305" customWidth="1"/>
    <col min="9475" max="9475" width="7.7109375" style="305" customWidth="1"/>
    <col min="9476" max="9476" width="4.140625" style="305" customWidth="1"/>
    <col min="9477" max="9477" width="13.140625" style="305" customWidth="1"/>
    <col min="9478" max="9478" width="6.7109375" style="305" customWidth="1"/>
    <col min="9479" max="9479" width="13.140625" style="305" customWidth="1"/>
    <col min="9480" max="9480" width="3.140625" style="305" customWidth="1"/>
    <col min="9481" max="9481" width="12.7109375" style="305" customWidth="1"/>
    <col min="9482" max="9482" width="7.5703125" style="305" customWidth="1"/>
    <col min="9483" max="9483" width="8" style="305" customWidth="1"/>
    <col min="9484" max="9484" width="8.28515625" style="305" customWidth="1"/>
    <col min="9485" max="9485" width="12.85546875" style="305" customWidth="1"/>
    <col min="9486" max="9497" width="0" style="305" hidden="1" customWidth="1"/>
    <col min="9498" max="9498" width="0.28515625" style="305" customWidth="1"/>
    <col min="9499" max="9728" width="10.28515625" style="305"/>
    <col min="9729" max="9729" width="9.140625" style="305" customWidth="1"/>
    <col min="9730" max="9730" width="4.140625" style="305" customWidth="1"/>
    <col min="9731" max="9731" width="7.7109375" style="305" customWidth="1"/>
    <col min="9732" max="9732" width="4.140625" style="305" customWidth="1"/>
    <col min="9733" max="9733" width="13.140625" style="305" customWidth="1"/>
    <col min="9734" max="9734" width="6.7109375" style="305" customWidth="1"/>
    <col min="9735" max="9735" width="13.140625" style="305" customWidth="1"/>
    <col min="9736" max="9736" width="3.140625" style="305" customWidth="1"/>
    <col min="9737" max="9737" width="12.7109375" style="305" customWidth="1"/>
    <col min="9738" max="9738" width="7.5703125" style="305" customWidth="1"/>
    <col min="9739" max="9739" width="8" style="305" customWidth="1"/>
    <col min="9740" max="9740" width="8.28515625" style="305" customWidth="1"/>
    <col min="9741" max="9741" width="12.85546875" style="305" customWidth="1"/>
    <col min="9742" max="9753" width="0" style="305" hidden="1" customWidth="1"/>
    <col min="9754" max="9754" width="0.28515625" style="305" customWidth="1"/>
    <col min="9755" max="9984" width="10.28515625" style="305"/>
    <col min="9985" max="9985" width="9.140625" style="305" customWidth="1"/>
    <col min="9986" max="9986" width="4.140625" style="305" customWidth="1"/>
    <col min="9987" max="9987" width="7.7109375" style="305" customWidth="1"/>
    <col min="9988" max="9988" width="4.140625" style="305" customWidth="1"/>
    <col min="9989" max="9989" width="13.140625" style="305" customWidth="1"/>
    <col min="9990" max="9990" width="6.7109375" style="305" customWidth="1"/>
    <col min="9991" max="9991" width="13.140625" style="305" customWidth="1"/>
    <col min="9992" max="9992" width="3.140625" style="305" customWidth="1"/>
    <col min="9993" max="9993" width="12.7109375" style="305" customWidth="1"/>
    <col min="9994" max="9994" width="7.5703125" style="305" customWidth="1"/>
    <col min="9995" max="9995" width="8" style="305" customWidth="1"/>
    <col min="9996" max="9996" width="8.28515625" style="305" customWidth="1"/>
    <col min="9997" max="9997" width="12.85546875" style="305" customWidth="1"/>
    <col min="9998" max="10009" width="0" style="305" hidden="1" customWidth="1"/>
    <col min="10010" max="10010" width="0.28515625" style="305" customWidth="1"/>
    <col min="10011" max="10240" width="10.28515625" style="305"/>
    <col min="10241" max="10241" width="9.140625" style="305" customWidth="1"/>
    <col min="10242" max="10242" width="4.140625" style="305" customWidth="1"/>
    <col min="10243" max="10243" width="7.7109375" style="305" customWidth="1"/>
    <col min="10244" max="10244" width="4.140625" style="305" customWidth="1"/>
    <col min="10245" max="10245" width="13.140625" style="305" customWidth="1"/>
    <col min="10246" max="10246" width="6.7109375" style="305" customWidth="1"/>
    <col min="10247" max="10247" width="13.140625" style="305" customWidth="1"/>
    <col min="10248" max="10248" width="3.140625" style="305" customWidth="1"/>
    <col min="10249" max="10249" width="12.7109375" style="305" customWidth="1"/>
    <col min="10250" max="10250" width="7.5703125" style="305" customWidth="1"/>
    <col min="10251" max="10251" width="8" style="305" customWidth="1"/>
    <col min="10252" max="10252" width="8.28515625" style="305" customWidth="1"/>
    <col min="10253" max="10253" width="12.85546875" style="305" customWidth="1"/>
    <col min="10254" max="10265" width="0" style="305" hidden="1" customWidth="1"/>
    <col min="10266" max="10266" width="0.28515625" style="305" customWidth="1"/>
    <col min="10267" max="10496" width="10.28515625" style="305"/>
    <col min="10497" max="10497" width="9.140625" style="305" customWidth="1"/>
    <col min="10498" max="10498" width="4.140625" style="305" customWidth="1"/>
    <col min="10499" max="10499" width="7.7109375" style="305" customWidth="1"/>
    <col min="10500" max="10500" width="4.140625" style="305" customWidth="1"/>
    <col min="10501" max="10501" width="13.140625" style="305" customWidth="1"/>
    <col min="10502" max="10502" width="6.7109375" style="305" customWidth="1"/>
    <col min="10503" max="10503" width="13.140625" style="305" customWidth="1"/>
    <col min="10504" max="10504" width="3.140625" style="305" customWidth="1"/>
    <col min="10505" max="10505" width="12.7109375" style="305" customWidth="1"/>
    <col min="10506" max="10506" width="7.5703125" style="305" customWidth="1"/>
    <col min="10507" max="10507" width="8" style="305" customWidth="1"/>
    <col min="10508" max="10508" width="8.28515625" style="305" customWidth="1"/>
    <col min="10509" max="10509" width="12.85546875" style="305" customWidth="1"/>
    <col min="10510" max="10521" width="0" style="305" hidden="1" customWidth="1"/>
    <col min="10522" max="10522" width="0.28515625" style="305" customWidth="1"/>
    <col min="10523" max="10752" width="10.28515625" style="305"/>
    <col min="10753" max="10753" width="9.140625" style="305" customWidth="1"/>
    <col min="10754" max="10754" width="4.140625" style="305" customWidth="1"/>
    <col min="10755" max="10755" width="7.7109375" style="305" customWidth="1"/>
    <col min="10756" max="10756" width="4.140625" style="305" customWidth="1"/>
    <col min="10757" max="10757" width="13.140625" style="305" customWidth="1"/>
    <col min="10758" max="10758" width="6.7109375" style="305" customWidth="1"/>
    <col min="10759" max="10759" width="13.140625" style="305" customWidth="1"/>
    <col min="10760" max="10760" width="3.140625" style="305" customWidth="1"/>
    <col min="10761" max="10761" width="12.7109375" style="305" customWidth="1"/>
    <col min="10762" max="10762" width="7.5703125" style="305" customWidth="1"/>
    <col min="10763" max="10763" width="8" style="305" customWidth="1"/>
    <col min="10764" max="10764" width="8.28515625" style="305" customWidth="1"/>
    <col min="10765" max="10765" width="12.85546875" style="305" customWidth="1"/>
    <col min="10766" max="10777" width="0" style="305" hidden="1" customWidth="1"/>
    <col min="10778" max="10778" width="0.28515625" style="305" customWidth="1"/>
    <col min="10779" max="11008" width="10.28515625" style="305"/>
    <col min="11009" max="11009" width="9.140625" style="305" customWidth="1"/>
    <col min="11010" max="11010" width="4.140625" style="305" customWidth="1"/>
    <col min="11011" max="11011" width="7.7109375" style="305" customWidth="1"/>
    <col min="11012" max="11012" width="4.140625" style="305" customWidth="1"/>
    <col min="11013" max="11013" width="13.140625" style="305" customWidth="1"/>
    <col min="11014" max="11014" width="6.7109375" style="305" customWidth="1"/>
    <col min="11015" max="11015" width="13.140625" style="305" customWidth="1"/>
    <col min="11016" max="11016" width="3.140625" style="305" customWidth="1"/>
    <col min="11017" max="11017" width="12.7109375" style="305" customWidth="1"/>
    <col min="11018" max="11018" width="7.5703125" style="305" customWidth="1"/>
    <col min="11019" max="11019" width="8" style="305" customWidth="1"/>
    <col min="11020" max="11020" width="8.28515625" style="305" customWidth="1"/>
    <col min="11021" max="11021" width="12.85546875" style="305" customWidth="1"/>
    <col min="11022" max="11033" width="0" style="305" hidden="1" customWidth="1"/>
    <col min="11034" max="11034" width="0.28515625" style="305" customWidth="1"/>
    <col min="11035" max="11264" width="10.28515625" style="305"/>
    <col min="11265" max="11265" width="9.140625" style="305" customWidth="1"/>
    <col min="11266" max="11266" width="4.140625" style="305" customWidth="1"/>
    <col min="11267" max="11267" width="7.7109375" style="305" customWidth="1"/>
    <col min="11268" max="11268" width="4.140625" style="305" customWidth="1"/>
    <col min="11269" max="11269" width="13.140625" style="305" customWidth="1"/>
    <col min="11270" max="11270" width="6.7109375" style="305" customWidth="1"/>
    <col min="11271" max="11271" width="13.140625" style="305" customWidth="1"/>
    <col min="11272" max="11272" width="3.140625" style="305" customWidth="1"/>
    <col min="11273" max="11273" width="12.7109375" style="305" customWidth="1"/>
    <col min="11274" max="11274" width="7.5703125" style="305" customWidth="1"/>
    <col min="11275" max="11275" width="8" style="305" customWidth="1"/>
    <col min="11276" max="11276" width="8.28515625" style="305" customWidth="1"/>
    <col min="11277" max="11277" width="12.85546875" style="305" customWidth="1"/>
    <col min="11278" max="11289" width="0" style="305" hidden="1" customWidth="1"/>
    <col min="11290" max="11290" width="0.28515625" style="305" customWidth="1"/>
    <col min="11291" max="11520" width="10.28515625" style="305"/>
    <col min="11521" max="11521" width="9.140625" style="305" customWidth="1"/>
    <col min="11522" max="11522" width="4.140625" style="305" customWidth="1"/>
    <col min="11523" max="11523" width="7.7109375" style="305" customWidth="1"/>
    <col min="11524" max="11524" width="4.140625" style="305" customWidth="1"/>
    <col min="11525" max="11525" width="13.140625" style="305" customWidth="1"/>
    <col min="11526" max="11526" width="6.7109375" style="305" customWidth="1"/>
    <col min="11527" max="11527" width="13.140625" style="305" customWidth="1"/>
    <col min="11528" max="11528" width="3.140625" style="305" customWidth="1"/>
    <col min="11529" max="11529" width="12.7109375" style="305" customWidth="1"/>
    <col min="11530" max="11530" width="7.5703125" style="305" customWidth="1"/>
    <col min="11531" max="11531" width="8" style="305" customWidth="1"/>
    <col min="11532" max="11532" width="8.28515625" style="305" customWidth="1"/>
    <col min="11533" max="11533" width="12.85546875" style="305" customWidth="1"/>
    <col min="11534" max="11545" width="0" style="305" hidden="1" customWidth="1"/>
    <col min="11546" max="11546" width="0.28515625" style="305" customWidth="1"/>
    <col min="11547" max="11776" width="10.28515625" style="305"/>
    <col min="11777" max="11777" width="9.140625" style="305" customWidth="1"/>
    <col min="11778" max="11778" width="4.140625" style="305" customWidth="1"/>
    <col min="11779" max="11779" width="7.7109375" style="305" customWidth="1"/>
    <col min="11780" max="11780" width="4.140625" style="305" customWidth="1"/>
    <col min="11781" max="11781" width="13.140625" style="305" customWidth="1"/>
    <col min="11782" max="11782" width="6.7109375" style="305" customWidth="1"/>
    <col min="11783" max="11783" width="13.140625" style="305" customWidth="1"/>
    <col min="11784" max="11784" width="3.140625" style="305" customWidth="1"/>
    <col min="11785" max="11785" width="12.7109375" style="305" customWidth="1"/>
    <col min="11786" max="11786" width="7.5703125" style="305" customWidth="1"/>
    <col min="11787" max="11787" width="8" style="305" customWidth="1"/>
    <col min="11788" max="11788" width="8.28515625" style="305" customWidth="1"/>
    <col min="11789" max="11789" width="12.85546875" style="305" customWidth="1"/>
    <col min="11790" max="11801" width="0" style="305" hidden="1" customWidth="1"/>
    <col min="11802" max="11802" width="0.28515625" style="305" customWidth="1"/>
    <col min="11803" max="12032" width="10.28515625" style="305"/>
    <col min="12033" max="12033" width="9.140625" style="305" customWidth="1"/>
    <col min="12034" max="12034" width="4.140625" style="305" customWidth="1"/>
    <col min="12035" max="12035" width="7.7109375" style="305" customWidth="1"/>
    <col min="12036" max="12036" width="4.140625" style="305" customWidth="1"/>
    <col min="12037" max="12037" width="13.140625" style="305" customWidth="1"/>
    <col min="12038" max="12038" width="6.7109375" style="305" customWidth="1"/>
    <col min="12039" max="12039" width="13.140625" style="305" customWidth="1"/>
    <col min="12040" max="12040" width="3.140625" style="305" customWidth="1"/>
    <col min="12041" max="12041" width="12.7109375" style="305" customWidth="1"/>
    <col min="12042" max="12042" width="7.5703125" style="305" customWidth="1"/>
    <col min="12043" max="12043" width="8" style="305" customWidth="1"/>
    <col min="12044" max="12044" width="8.28515625" style="305" customWidth="1"/>
    <col min="12045" max="12045" width="12.85546875" style="305" customWidth="1"/>
    <col min="12046" max="12057" width="0" style="305" hidden="1" customWidth="1"/>
    <col min="12058" max="12058" width="0.28515625" style="305" customWidth="1"/>
    <col min="12059" max="12288" width="10.28515625" style="305"/>
    <col min="12289" max="12289" width="9.140625" style="305" customWidth="1"/>
    <col min="12290" max="12290" width="4.140625" style="305" customWidth="1"/>
    <col min="12291" max="12291" width="7.7109375" style="305" customWidth="1"/>
    <col min="12292" max="12292" width="4.140625" style="305" customWidth="1"/>
    <col min="12293" max="12293" width="13.140625" style="305" customWidth="1"/>
    <col min="12294" max="12294" width="6.7109375" style="305" customWidth="1"/>
    <col min="12295" max="12295" width="13.140625" style="305" customWidth="1"/>
    <col min="12296" max="12296" width="3.140625" style="305" customWidth="1"/>
    <col min="12297" max="12297" width="12.7109375" style="305" customWidth="1"/>
    <col min="12298" max="12298" width="7.5703125" style="305" customWidth="1"/>
    <col min="12299" max="12299" width="8" style="305" customWidth="1"/>
    <col min="12300" max="12300" width="8.28515625" style="305" customWidth="1"/>
    <col min="12301" max="12301" width="12.85546875" style="305" customWidth="1"/>
    <col min="12302" max="12313" width="0" style="305" hidden="1" customWidth="1"/>
    <col min="12314" max="12314" width="0.28515625" style="305" customWidth="1"/>
    <col min="12315" max="12544" width="10.28515625" style="305"/>
    <col min="12545" max="12545" width="9.140625" style="305" customWidth="1"/>
    <col min="12546" max="12546" width="4.140625" style="305" customWidth="1"/>
    <col min="12547" max="12547" width="7.7109375" style="305" customWidth="1"/>
    <col min="12548" max="12548" width="4.140625" style="305" customWidth="1"/>
    <col min="12549" max="12549" width="13.140625" style="305" customWidth="1"/>
    <col min="12550" max="12550" width="6.7109375" style="305" customWidth="1"/>
    <col min="12551" max="12551" width="13.140625" style="305" customWidth="1"/>
    <col min="12552" max="12552" width="3.140625" style="305" customWidth="1"/>
    <col min="12553" max="12553" width="12.7109375" style="305" customWidth="1"/>
    <col min="12554" max="12554" width="7.5703125" style="305" customWidth="1"/>
    <col min="12555" max="12555" width="8" style="305" customWidth="1"/>
    <col min="12556" max="12556" width="8.28515625" style="305" customWidth="1"/>
    <col min="12557" max="12557" width="12.85546875" style="305" customWidth="1"/>
    <col min="12558" max="12569" width="0" style="305" hidden="1" customWidth="1"/>
    <col min="12570" max="12570" width="0.28515625" style="305" customWidth="1"/>
    <col min="12571" max="12800" width="10.28515625" style="305"/>
    <col min="12801" max="12801" width="9.140625" style="305" customWidth="1"/>
    <col min="12802" max="12802" width="4.140625" style="305" customWidth="1"/>
    <col min="12803" max="12803" width="7.7109375" style="305" customWidth="1"/>
    <col min="12804" max="12804" width="4.140625" style="305" customWidth="1"/>
    <col min="12805" max="12805" width="13.140625" style="305" customWidth="1"/>
    <col min="12806" max="12806" width="6.7109375" style="305" customWidth="1"/>
    <col min="12807" max="12807" width="13.140625" style="305" customWidth="1"/>
    <col min="12808" max="12808" width="3.140625" style="305" customWidth="1"/>
    <col min="12809" max="12809" width="12.7109375" style="305" customWidth="1"/>
    <col min="12810" max="12810" width="7.5703125" style="305" customWidth="1"/>
    <col min="12811" max="12811" width="8" style="305" customWidth="1"/>
    <col min="12812" max="12812" width="8.28515625" style="305" customWidth="1"/>
    <col min="12813" max="12813" width="12.85546875" style="305" customWidth="1"/>
    <col min="12814" max="12825" width="0" style="305" hidden="1" customWidth="1"/>
    <col min="12826" max="12826" width="0.28515625" style="305" customWidth="1"/>
    <col min="12827" max="13056" width="10.28515625" style="305"/>
    <col min="13057" max="13057" width="9.140625" style="305" customWidth="1"/>
    <col min="13058" max="13058" width="4.140625" style="305" customWidth="1"/>
    <col min="13059" max="13059" width="7.7109375" style="305" customWidth="1"/>
    <col min="13060" max="13060" width="4.140625" style="305" customWidth="1"/>
    <col min="13061" max="13061" width="13.140625" style="305" customWidth="1"/>
    <col min="13062" max="13062" width="6.7109375" style="305" customWidth="1"/>
    <col min="13063" max="13063" width="13.140625" style="305" customWidth="1"/>
    <col min="13064" max="13064" width="3.140625" style="305" customWidth="1"/>
    <col min="13065" max="13065" width="12.7109375" style="305" customWidth="1"/>
    <col min="13066" max="13066" width="7.5703125" style="305" customWidth="1"/>
    <col min="13067" max="13067" width="8" style="305" customWidth="1"/>
    <col min="13068" max="13068" width="8.28515625" style="305" customWidth="1"/>
    <col min="13069" max="13069" width="12.85546875" style="305" customWidth="1"/>
    <col min="13070" max="13081" width="0" style="305" hidden="1" customWidth="1"/>
    <col min="13082" max="13082" width="0.28515625" style="305" customWidth="1"/>
    <col min="13083" max="13312" width="10.28515625" style="305"/>
    <col min="13313" max="13313" width="9.140625" style="305" customWidth="1"/>
    <col min="13314" max="13314" width="4.140625" style="305" customWidth="1"/>
    <col min="13315" max="13315" width="7.7109375" style="305" customWidth="1"/>
    <col min="13316" max="13316" width="4.140625" style="305" customWidth="1"/>
    <col min="13317" max="13317" width="13.140625" style="305" customWidth="1"/>
    <col min="13318" max="13318" width="6.7109375" style="305" customWidth="1"/>
    <col min="13319" max="13319" width="13.140625" style="305" customWidth="1"/>
    <col min="13320" max="13320" width="3.140625" style="305" customWidth="1"/>
    <col min="13321" max="13321" width="12.7109375" style="305" customWidth="1"/>
    <col min="13322" max="13322" width="7.5703125" style="305" customWidth="1"/>
    <col min="13323" max="13323" width="8" style="305" customWidth="1"/>
    <col min="13324" max="13324" width="8.28515625" style="305" customWidth="1"/>
    <col min="13325" max="13325" width="12.85546875" style="305" customWidth="1"/>
    <col min="13326" max="13337" width="0" style="305" hidden="1" customWidth="1"/>
    <col min="13338" max="13338" width="0.28515625" style="305" customWidth="1"/>
    <col min="13339" max="13568" width="10.28515625" style="305"/>
    <col min="13569" max="13569" width="9.140625" style="305" customWidth="1"/>
    <col min="13570" max="13570" width="4.140625" style="305" customWidth="1"/>
    <col min="13571" max="13571" width="7.7109375" style="305" customWidth="1"/>
    <col min="13572" max="13572" width="4.140625" style="305" customWidth="1"/>
    <col min="13573" max="13573" width="13.140625" style="305" customWidth="1"/>
    <col min="13574" max="13574" width="6.7109375" style="305" customWidth="1"/>
    <col min="13575" max="13575" width="13.140625" style="305" customWidth="1"/>
    <col min="13576" max="13576" width="3.140625" style="305" customWidth="1"/>
    <col min="13577" max="13577" width="12.7109375" style="305" customWidth="1"/>
    <col min="13578" max="13578" width="7.5703125" style="305" customWidth="1"/>
    <col min="13579" max="13579" width="8" style="305" customWidth="1"/>
    <col min="13580" max="13580" width="8.28515625" style="305" customWidth="1"/>
    <col min="13581" max="13581" width="12.85546875" style="305" customWidth="1"/>
    <col min="13582" max="13593" width="0" style="305" hidden="1" customWidth="1"/>
    <col min="13594" max="13594" width="0.28515625" style="305" customWidth="1"/>
    <col min="13595" max="13824" width="10.28515625" style="305"/>
    <col min="13825" max="13825" width="9.140625" style="305" customWidth="1"/>
    <col min="13826" max="13826" width="4.140625" style="305" customWidth="1"/>
    <col min="13827" max="13827" width="7.7109375" style="305" customWidth="1"/>
    <col min="13828" max="13828" width="4.140625" style="305" customWidth="1"/>
    <col min="13829" max="13829" width="13.140625" style="305" customWidth="1"/>
    <col min="13830" max="13830" width="6.7109375" style="305" customWidth="1"/>
    <col min="13831" max="13831" width="13.140625" style="305" customWidth="1"/>
    <col min="13832" max="13832" width="3.140625" style="305" customWidth="1"/>
    <col min="13833" max="13833" width="12.7109375" style="305" customWidth="1"/>
    <col min="13834" max="13834" width="7.5703125" style="305" customWidth="1"/>
    <col min="13835" max="13835" width="8" style="305" customWidth="1"/>
    <col min="13836" max="13836" width="8.28515625" style="305" customWidth="1"/>
    <col min="13837" max="13837" width="12.85546875" style="305" customWidth="1"/>
    <col min="13838" max="13849" width="0" style="305" hidden="1" customWidth="1"/>
    <col min="13850" max="13850" width="0.28515625" style="305" customWidth="1"/>
    <col min="13851" max="14080" width="10.28515625" style="305"/>
    <col min="14081" max="14081" width="9.140625" style="305" customWidth="1"/>
    <col min="14082" max="14082" width="4.140625" style="305" customWidth="1"/>
    <col min="14083" max="14083" width="7.7109375" style="305" customWidth="1"/>
    <col min="14084" max="14084" width="4.140625" style="305" customWidth="1"/>
    <col min="14085" max="14085" width="13.140625" style="305" customWidth="1"/>
    <col min="14086" max="14086" width="6.7109375" style="305" customWidth="1"/>
    <col min="14087" max="14087" width="13.140625" style="305" customWidth="1"/>
    <col min="14088" max="14088" width="3.140625" style="305" customWidth="1"/>
    <col min="14089" max="14089" width="12.7109375" style="305" customWidth="1"/>
    <col min="14090" max="14090" width="7.5703125" style="305" customWidth="1"/>
    <col min="14091" max="14091" width="8" style="305" customWidth="1"/>
    <col min="14092" max="14092" width="8.28515625" style="305" customWidth="1"/>
    <col min="14093" max="14093" width="12.85546875" style="305" customWidth="1"/>
    <col min="14094" max="14105" width="0" style="305" hidden="1" customWidth="1"/>
    <col min="14106" max="14106" width="0.28515625" style="305" customWidth="1"/>
    <col min="14107" max="14336" width="10.28515625" style="305"/>
    <col min="14337" max="14337" width="9.140625" style="305" customWidth="1"/>
    <col min="14338" max="14338" width="4.140625" style="305" customWidth="1"/>
    <col min="14339" max="14339" width="7.7109375" style="305" customWidth="1"/>
    <col min="14340" max="14340" width="4.140625" style="305" customWidth="1"/>
    <col min="14341" max="14341" width="13.140625" style="305" customWidth="1"/>
    <col min="14342" max="14342" width="6.7109375" style="305" customWidth="1"/>
    <col min="14343" max="14343" width="13.140625" style="305" customWidth="1"/>
    <col min="14344" max="14344" width="3.140625" style="305" customWidth="1"/>
    <col min="14345" max="14345" width="12.7109375" style="305" customWidth="1"/>
    <col min="14346" max="14346" width="7.5703125" style="305" customWidth="1"/>
    <col min="14347" max="14347" width="8" style="305" customWidth="1"/>
    <col min="14348" max="14348" width="8.28515625" style="305" customWidth="1"/>
    <col min="14349" max="14349" width="12.85546875" style="305" customWidth="1"/>
    <col min="14350" max="14361" width="0" style="305" hidden="1" customWidth="1"/>
    <col min="14362" max="14362" width="0.28515625" style="305" customWidth="1"/>
    <col min="14363" max="14592" width="10.28515625" style="305"/>
    <col min="14593" max="14593" width="9.140625" style="305" customWidth="1"/>
    <col min="14594" max="14594" width="4.140625" style="305" customWidth="1"/>
    <col min="14595" max="14595" width="7.7109375" style="305" customWidth="1"/>
    <col min="14596" max="14596" width="4.140625" style="305" customWidth="1"/>
    <col min="14597" max="14597" width="13.140625" style="305" customWidth="1"/>
    <col min="14598" max="14598" width="6.7109375" style="305" customWidth="1"/>
    <col min="14599" max="14599" width="13.140625" style="305" customWidth="1"/>
    <col min="14600" max="14600" width="3.140625" style="305" customWidth="1"/>
    <col min="14601" max="14601" width="12.7109375" style="305" customWidth="1"/>
    <col min="14602" max="14602" width="7.5703125" style="305" customWidth="1"/>
    <col min="14603" max="14603" width="8" style="305" customWidth="1"/>
    <col min="14604" max="14604" width="8.28515625" style="305" customWidth="1"/>
    <col min="14605" max="14605" width="12.85546875" style="305" customWidth="1"/>
    <col min="14606" max="14617" width="0" style="305" hidden="1" customWidth="1"/>
    <col min="14618" max="14618" width="0.28515625" style="305" customWidth="1"/>
    <col min="14619" max="14848" width="10.28515625" style="305"/>
    <col min="14849" max="14849" width="9.140625" style="305" customWidth="1"/>
    <col min="14850" max="14850" width="4.140625" style="305" customWidth="1"/>
    <col min="14851" max="14851" width="7.7109375" style="305" customWidth="1"/>
    <col min="14852" max="14852" width="4.140625" style="305" customWidth="1"/>
    <col min="14853" max="14853" width="13.140625" style="305" customWidth="1"/>
    <col min="14854" max="14854" width="6.7109375" style="305" customWidth="1"/>
    <col min="14855" max="14855" width="13.140625" style="305" customWidth="1"/>
    <col min="14856" max="14856" width="3.140625" style="305" customWidth="1"/>
    <col min="14857" max="14857" width="12.7109375" style="305" customWidth="1"/>
    <col min="14858" max="14858" width="7.5703125" style="305" customWidth="1"/>
    <col min="14859" max="14859" width="8" style="305" customWidth="1"/>
    <col min="14860" max="14860" width="8.28515625" style="305" customWidth="1"/>
    <col min="14861" max="14861" width="12.85546875" style="305" customWidth="1"/>
    <col min="14862" max="14873" width="0" style="305" hidden="1" customWidth="1"/>
    <col min="14874" max="14874" width="0.28515625" style="305" customWidth="1"/>
    <col min="14875" max="15104" width="10.28515625" style="305"/>
    <col min="15105" max="15105" width="9.140625" style="305" customWidth="1"/>
    <col min="15106" max="15106" width="4.140625" style="305" customWidth="1"/>
    <col min="15107" max="15107" width="7.7109375" style="305" customWidth="1"/>
    <col min="15108" max="15108" width="4.140625" style="305" customWidth="1"/>
    <col min="15109" max="15109" width="13.140625" style="305" customWidth="1"/>
    <col min="15110" max="15110" width="6.7109375" style="305" customWidth="1"/>
    <col min="15111" max="15111" width="13.140625" style="305" customWidth="1"/>
    <col min="15112" max="15112" width="3.140625" style="305" customWidth="1"/>
    <col min="15113" max="15113" width="12.7109375" style="305" customWidth="1"/>
    <col min="15114" max="15114" width="7.5703125" style="305" customWidth="1"/>
    <col min="15115" max="15115" width="8" style="305" customWidth="1"/>
    <col min="15116" max="15116" width="8.28515625" style="305" customWidth="1"/>
    <col min="15117" max="15117" width="12.85546875" style="305" customWidth="1"/>
    <col min="15118" max="15129" width="0" style="305" hidden="1" customWidth="1"/>
    <col min="15130" max="15130" width="0.28515625" style="305" customWidth="1"/>
    <col min="15131" max="15360" width="10.28515625" style="305"/>
    <col min="15361" max="15361" width="9.140625" style="305" customWidth="1"/>
    <col min="15362" max="15362" width="4.140625" style="305" customWidth="1"/>
    <col min="15363" max="15363" width="7.7109375" style="305" customWidth="1"/>
    <col min="15364" max="15364" width="4.140625" style="305" customWidth="1"/>
    <col min="15365" max="15365" width="13.140625" style="305" customWidth="1"/>
    <col min="15366" max="15366" width="6.7109375" style="305" customWidth="1"/>
    <col min="15367" max="15367" width="13.140625" style="305" customWidth="1"/>
    <col min="15368" max="15368" width="3.140625" style="305" customWidth="1"/>
    <col min="15369" max="15369" width="12.7109375" style="305" customWidth="1"/>
    <col min="15370" max="15370" width="7.5703125" style="305" customWidth="1"/>
    <col min="15371" max="15371" width="8" style="305" customWidth="1"/>
    <col min="15372" max="15372" width="8.28515625" style="305" customWidth="1"/>
    <col min="15373" max="15373" width="12.85546875" style="305" customWidth="1"/>
    <col min="15374" max="15385" width="0" style="305" hidden="1" customWidth="1"/>
    <col min="15386" max="15386" width="0.28515625" style="305" customWidth="1"/>
    <col min="15387" max="15616" width="10.28515625" style="305"/>
    <col min="15617" max="15617" width="9.140625" style="305" customWidth="1"/>
    <col min="15618" max="15618" width="4.140625" style="305" customWidth="1"/>
    <col min="15619" max="15619" width="7.7109375" style="305" customWidth="1"/>
    <col min="15620" max="15620" width="4.140625" style="305" customWidth="1"/>
    <col min="15621" max="15621" width="13.140625" style="305" customWidth="1"/>
    <col min="15622" max="15622" width="6.7109375" style="305" customWidth="1"/>
    <col min="15623" max="15623" width="13.140625" style="305" customWidth="1"/>
    <col min="15624" max="15624" width="3.140625" style="305" customWidth="1"/>
    <col min="15625" max="15625" width="12.7109375" style="305" customWidth="1"/>
    <col min="15626" max="15626" width="7.5703125" style="305" customWidth="1"/>
    <col min="15627" max="15627" width="8" style="305" customWidth="1"/>
    <col min="15628" max="15628" width="8.28515625" style="305" customWidth="1"/>
    <col min="15629" max="15629" width="12.85546875" style="305" customWidth="1"/>
    <col min="15630" max="15641" width="0" style="305" hidden="1" customWidth="1"/>
    <col min="15642" max="15642" width="0.28515625" style="305" customWidth="1"/>
    <col min="15643" max="15872" width="10.28515625" style="305"/>
    <col min="15873" max="15873" width="9.140625" style="305" customWidth="1"/>
    <col min="15874" max="15874" width="4.140625" style="305" customWidth="1"/>
    <col min="15875" max="15875" width="7.7109375" style="305" customWidth="1"/>
    <col min="15876" max="15876" width="4.140625" style="305" customWidth="1"/>
    <col min="15877" max="15877" width="13.140625" style="305" customWidth="1"/>
    <col min="15878" max="15878" width="6.7109375" style="305" customWidth="1"/>
    <col min="15879" max="15879" width="13.140625" style="305" customWidth="1"/>
    <col min="15880" max="15880" width="3.140625" style="305" customWidth="1"/>
    <col min="15881" max="15881" width="12.7109375" style="305" customWidth="1"/>
    <col min="15882" max="15882" width="7.5703125" style="305" customWidth="1"/>
    <col min="15883" max="15883" width="8" style="305" customWidth="1"/>
    <col min="15884" max="15884" width="8.28515625" style="305" customWidth="1"/>
    <col min="15885" max="15885" width="12.85546875" style="305" customWidth="1"/>
    <col min="15886" max="15897" width="0" style="305" hidden="1" customWidth="1"/>
    <col min="15898" max="15898" width="0.28515625" style="305" customWidth="1"/>
    <col min="15899" max="16128" width="10.28515625" style="305"/>
    <col min="16129" max="16129" width="9.140625" style="305" customWidth="1"/>
    <col min="16130" max="16130" width="4.140625" style="305" customWidth="1"/>
    <col min="16131" max="16131" width="7.7109375" style="305" customWidth="1"/>
    <col min="16132" max="16132" width="4.140625" style="305" customWidth="1"/>
    <col min="16133" max="16133" width="13.140625" style="305" customWidth="1"/>
    <col min="16134" max="16134" width="6.7109375" style="305" customWidth="1"/>
    <col min="16135" max="16135" width="13.140625" style="305" customWidth="1"/>
    <col min="16136" max="16136" width="3.140625" style="305" customWidth="1"/>
    <col min="16137" max="16137" width="12.7109375" style="305" customWidth="1"/>
    <col min="16138" max="16138" width="7.5703125" style="305" customWidth="1"/>
    <col min="16139" max="16139" width="8" style="305" customWidth="1"/>
    <col min="16140" max="16140" width="8.28515625" style="305" customWidth="1"/>
    <col min="16141" max="16141" width="12.85546875" style="305" customWidth="1"/>
    <col min="16142" max="16153" width="0" style="305" hidden="1" customWidth="1"/>
    <col min="16154" max="16154" width="0.28515625" style="305" customWidth="1"/>
    <col min="16155" max="16384" width="10.28515625" style="305"/>
  </cols>
  <sheetData>
    <row r="1" spans="1:25" ht="30" customHeight="1" x14ac:dyDescent="0.5">
      <c r="A1" s="665" t="s">
        <v>469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25" s="310" customFormat="1" x14ac:dyDescent="0.5">
      <c r="A2" s="307" t="s">
        <v>576</v>
      </c>
      <c r="B2" s="308"/>
      <c r="C2" s="309"/>
      <c r="D2" s="308"/>
      <c r="E2" s="308"/>
      <c r="F2" s="308"/>
      <c r="G2" s="308"/>
      <c r="H2" s="308"/>
      <c r="I2" s="308"/>
      <c r="J2" s="308"/>
      <c r="K2" s="308"/>
      <c r="L2" s="308"/>
      <c r="N2" s="311"/>
      <c r="P2" s="309"/>
      <c r="Q2" s="311"/>
      <c r="U2" s="312"/>
    </row>
    <row r="3" spans="1:25" s="310" customFormat="1" x14ac:dyDescent="0.5">
      <c r="A3" s="307" t="s">
        <v>575</v>
      </c>
      <c r="B3" s="308"/>
      <c r="C3" s="513"/>
      <c r="D3" s="513"/>
      <c r="E3" s="513"/>
      <c r="F3" s="513"/>
      <c r="G3" s="513"/>
      <c r="H3" s="513"/>
      <c r="I3" s="513"/>
      <c r="J3" s="313"/>
      <c r="K3" s="666"/>
      <c r="L3" s="666"/>
      <c r="N3" s="314"/>
      <c r="O3" s="315"/>
      <c r="Q3" s="311"/>
      <c r="U3" s="312"/>
    </row>
    <row r="4" spans="1:25" s="310" customFormat="1" x14ac:dyDescent="0.5">
      <c r="A4" s="307" t="s">
        <v>577</v>
      </c>
      <c r="B4" s="308"/>
      <c r="C4" s="316"/>
      <c r="D4" s="316"/>
      <c r="E4" s="308"/>
      <c r="F4" s="316"/>
      <c r="G4" s="317"/>
      <c r="H4" s="308"/>
      <c r="I4" s="316"/>
      <c r="J4" s="316"/>
      <c r="K4" s="316"/>
      <c r="L4" s="316"/>
      <c r="N4" s="311"/>
      <c r="Q4" s="311"/>
      <c r="U4" s="312"/>
    </row>
    <row r="5" spans="1:25" s="310" customFormat="1" ht="9.9499999999999993" customHeight="1" thickBot="1" x14ac:dyDescent="0.55000000000000004">
      <c r="A5" s="667"/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N5" s="311"/>
      <c r="Q5" s="311"/>
      <c r="U5" s="312"/>
    </row>
    <row r="6" spans="1:25" ht="21.75" customHeight="1" x14ac:dyDescent="0.5">
      <c r="A6" s="668" t="s">
        <v>10</v>
      </c>
      <c r="B6" s="669"/>
      <c r="C6" s="669"/>
      <c r="D6" s="669"/>
      <c r="E6" s="669"/>
      <c r="F6" s="669"/>
      <c r="G6" s="669"/>
      <c r="H6" s="669"/>
      <c r="I6" s="669"/>
      <c r="J6" s="669"/>
      <c r="K6" s="318" t="s">
        <v>470</v>
      </c>
      <c r="L6" s="672" t="s">
        <v>471</v>
      </c>
    </row>
    <row r="7" spans="1:25" ht="21.75" customHeight="1" thickBot="1" x14ac:dyDescent="0.55000000000000004">
      <c r="A7" s="670"/>
      <c r="B7" s="671"/>
      <c r="C7" s="671"/>
      <c r="D7" s="671"/>
      <c r="E7" s="671"/>
      <c r="F7" s="671"/>
      <c r="G7" s="671"/>
      <c r="H7" s="671"/>
      <c r="I7" s="671"/>
      <c r="J7" s="671"/>
      <c r="K7" s="319" t="s">
        <v>472</v>
      </c>
      <c r="L7" s="673"/>
      <c r="U7" s="306">
        <v>0</v>
      </c>
      <c r="V7" s="305">
        <f>V8</f>
        <v>1.3090999999999999</v>
      </c>
      <c r="X7" s="320">
        <v>0</v>
      </c>
      <c r="Y7" s="321">
        <v>500000</v>
      </c>
    </row>
    <row r="8" spans="1:25" ht="24" thickBot="1" x14ac:dyDescent="0.55000000000000004">
      <c r="A8" s="674"/>
      <c r="B8" s="676" t="s">
        <v>473</v>
      </c>
      <c r="C8" s="676"/>
      <c r="D8" s="676"/>
      <c r="E8" s="676"/>
      <c r="F8" s="676"/>
      <c r="G8" s="676"/>
      <c r="H8" s="676"/>
      <c r="I8" s="676"/>
      <c r="J8" s="322">
        <v>0</v>
      </c>
      <c r="K8" s="323" t="s">
        <v>474</v>
      </c>
      <c r="L8" s="324">
        <f t="shared" ref="L8:L31" si="0">V8</f>
        <v>1.3090999999999999</v>
      </c>
      <c r="P8" s="325">
        <f>รวมราคา!J22</f>
        <v>26174228.319750115</v>
      </c>
      <c r="Q8" s="326"/>
      <c r="U8" s="327">
        <v>500000</v>
      </c>
      <c r="V8" s="328">
        <f>+[2]Sheet1!H6</f>
        <v>1.3090999999999999</v>
      </c>
      <c r="X8" s="321">
        <v>500000</v>
      </c>
      <c r="Y8" s="321">
        <v>1000000</v>
      </c>
    </row>
    <row r="9" spans="1:25" ht="24" thickBot="1" x14ac:dyDescent="0.55000000000000004">
      <c r="A9" s="674"/>
      <c r="B9" s="676" t="s">
        <v>475</v>
      </c>
      <c r="C9" s="676"/>
      <c r="D9" s="676"/>
      <c r="E9" s="676"/>
      <c r="F9" s="676"/>
      <c r="G9" s="676"/>
      <c r="H9" s="676"/>
      <c r="I9" s="676"/>
      <c r="J9" s="322">
        <v>0</v>
      </c>
      <c r="K9" s="329">
        <v>1</v>
      </c>
      <c r="L9" s="324">
        <f t="shared" si="0"/>
        <v>1.3067</v>
      </c>
      <c r="U9" s="330">
        <v>1000000</v>
      </c>
      <c r="V9" s="331">
        <f>+[2]Sheet1!H7</f>
        <v>1.3067</v>
      </c>
      <c r="X9" s="321">
        <v>1000000</v>
      </c>
      <c r="Y9" s="321">
        <v>2000000</v>
      </c>
    </row>
    <row r="10" spans="1:25" s="332" customFormat="1" ht="24" thickBot="1" x14ac:dyDescent="0.55000000000000004">
      <c r="A10" s="674"/>
      <c r="B10" s="676" t="s">
        <v>476</v>
      </c>
      <c r="C10" s="676"/>
      <c r="D10" s="676"/>
      <c r="E10" s="676"/>
      <c r="F10" s="676"/>
      <c r="G10" s="676"/>
      <c r="H10" s="676"/>
      <c r="I10" s="676"/>
      <c r="J10" s="322">
        <v>7.0000000000000007E-2</v>
      </c>
      <c r="K10" s="329">
        <v>2</v>
      </c>
      <c r="L10" s="324">
        <f t="shared" si="0"/>
        <v>1.3050999999999999</v>
      </c>
      <c r="N10" s="333"/>
      <c r="O10" s="334" t="s">
        <v>477</v>
      </c>
      <c r="P10" s="335">
        <f>P8</f>
        <v>26174228.319750115</v>
      </c>
      <c r="Q10" s="305"/>
      <c r="S10" s="336"/>
      <c r="U10" s="330">
        <v>2000000</v>
      </c>
      <c r="V10" s="337">
        <f>+[2]Sheet1!H8</f>
        <v>1.3050999999999999</v>
      </c>
      <c r="X10" s="321">
        <v>2000000</v>
      </c>
      <c r="Y10" s="321">
        <v>5000000</v>
      </c>
    </row>
    <row r="11" spans="1:25" s="332" customFormat="1" ht="24" thickBot="1" x14ac:dyDescent="0.55000000000000004">
      <c r="A11" s="675"/>
      <c r="B11" s="677" t="s">
        <v>478</v>
      </c>
      <c r="C11" s="677"/>
      <c r="D11" s="677"/>
      <c r="E11" s="677"/>
      <c r="F11" s="677"/>
      <c r="G11" s="677"/>
      <c r="H11" s="677"/>
      <c r="I11" s="677"/>
      <c r="J11" s="322">
        <v>7.0000000000000007E-2</v>
      </c>
      <c r="K11" s="329">
        <v>5</v>
      </c>
      <c r="L11" s="324">
        <f t="shared" si="0"/>
        <v>1.302</v>
      </c>
      <c r="N11" s="333"/>
      <c r="O11" s="338" t="s">
        <v>479</v>
      </c>
      <c r="P11" s="339">
        <f>VLOOKUP(P8,U7:V31,1)</f>
        <v>25000000</v>
      </c>
      <c r="Q11" s="340" t="s">
        <v>480</v>
      </c>
      <c r="R11" s="341">
        <f>VLOOKUP(P11,U7:V31,2)</f>
        <v>1.2264999999999999</v>
      </c>
      <c r="U11" s="330">
        <v>5000000</v>
      </c>
      <c r="V11" s="331">
        <f>+[2]Sheet1!H9</f>
        <v>1.302</v>
      </c>
      <c r="X11" s="321">
        <v>5000000</v>
      </c>
      <c r="Y11" s="342">
        <v>10000000</v>
      </c>
    </row>
    <row r="12" spans="1:25" s="332" customFormat="1" ht="21.75" customHeight="1" thickBot="1" x14ac:dyDescent="0.55000000000000004">
      <c r="A12" s="659" t="s">
        <v>481</v>
      </c>
      <c r="B12" s="660"/>
      <c r="C12" s="660"/>
      <c r="D12" s="660"/>
      <c r="E12" s="660"/>
      <c r="F12" s="660"/>
      <c r="G12" s="660"/>
      <c r="H12" s="660"/>
      <c r="I12" s="660"/>
      <c r="J12" s="661"/>
      <c r="K12" s="343">
        <v>10</v>
      </c>
      <c r="L12" s="324">
        <f t="shared" si="0"/>
        <v>1.296</v>
      </c>
      <c r="N12" s="333"/>
      <c r="O12" s="344" t="s">
        <v>482</v>
      </c>
      <c r="P12" s="345">
        <f>VLOOKUP(P11,X7:Y31,2)</f>
        <v>30000000</v>
      </c>
      <c r="Q12" s="346" t="s">
        <v>483</v>
      </c>
      <c r="R12" s="347">
        <f>VLOOKUP(P12,U7:V31,2)</f>
        <v>1.2181</v>
      </c>
      <c r="U12" s="348">
        <v>10000000</v>
      </c>
      <c r="V12" s="337">
        <f>+[2]Sheet1!H10</f>
        <v>1.296</v>
      </c>
      <c r="X12" s="342">
        <v>10000000</v>
      </c>
      <c r="Y12" s="342">
        <v>15000000</v>
      </c>
    </row>
    <row r="13" spans="1:25" s="332" customFormat="1" ht="21.75" customHeight="1" x14ac:dyDescent="0.5">
      <c r="A13" s="662"/>
      <c r="B13" s="663"/>
      <c r="C13" s="663"/>
      <c r="D13" s="663"/>
      <c r="E13" s="663"/>
      <c r="F13" s="663"/>
      <c r="G13" s="663"/>
      <c r="H13" s="663"/>
      <c r="I13" s="663"/>
      <c r="J13" s="664"/>
      <c r="K13" s="343">
        <v>15</v>
      </c>
      <c r="L13" s="324">
        <f t="shared" si="0"/>
        <v>1.2611000000000001</v>
      </c>
      <c r="N13" s="305"/>
      <c r="Q13" s="305"/>
      <c r="U13" s="348">
        <v>15000000</v>
      </c>
      <c r="V13" s="331">
        <f>+[2]Sheet1!H11</f>
        <v>1.2611000000000001</v>
      </c>
      <c r="X13" s="342">
        <v>15000000</v>
      </c>
      <c r="Y13" s="321">
        <v>20000000</v>
      </c>
    </row>
    <row r="14" spans="1:25" s="332" customFormat="1" ht="21.75" customHeight="1" x14ac:dyDescent="0.5">
      <c r="A14" s="646" t="s">
        <v>484</v>
      </c>
      <c r="B14" s="647"/>
      <c r="C14" s="647"/>
      <c r="D14" s="647"/>
      <c r="E14" s="652" t="s">
        <v>485</v>
      </c>
      <c r="F14" s="655" t="s">
        <v>486</v>
      </c>
      <c r="G14" s="647"/>
      <c r="H14" s="647"/>
      <c r="I14" s="652" t="s">
        <v>487</v>
      </c>
      <c r="J14" s="656"/>
      <c r="K14" s="329">
        <v>20</v>
      </c>
      <c r="L14" s="324">
        <f t="shared" si="0"/>
        <v>1.2535000000000001</v>
      </c>
      <c r="N14" s="305"/>
      <c r="Q14" s="305"/>
      <c r="U14" s="330">
        <v>20000000</v>
      </c>
      <c r="V14" s="337">
        <f>+[2]Sheet1!H12</f>
        <v>1.2535000000000001</v>
      </c>
      <c r="X14" s="321">
        <v>20000000</v>
      </c>
      <c r="Y14" s="321">
        <v>25000000</v>
      </c>
    </row>
    <row r="15" spans="1:25" s="332" customFormat="1" ht="21" customHeight="1" x14ac:dyDescent="0.5">
      <c r="A15" s="648"/>
      <c r="B15" s="649"/>
      <c r="C15" s="649"/>
      <c r="D15" s="649"/>
      <c r="E15" s="653"/>
      <c r="F15" s="651"/>
      <c r="G15" s="651"/>
      <c r="H15" s="651"/>
      <c r="I15" s="653"/>
      <c r="J15" s="641"/>
      <c r="K15" s="329">
        <v>25</v>
      </c>
      <c r="L15" s="324">
        <f t="shared" si="0"/>
        <v>1.2264999999999999</v>
      </c>
      <c r="N15" s="305"/>
      <c r="Q15" s="305" t="s">
        <v>488</v>
      </c>
      <c r="U15" s="330">
        <v>25000000</v>
      </c>
      <c r="V15" s="331">
        <f>+[2]Sheet1!H13</f>
        <v>1.2264999999999999</v>
      </c>
      <c r="X15" s="321">
        <v>25000000</v>
      </c>
      <c r="Y15" s="321">
        <v>30000000</v>
      </c>
    </row>
    <row r="16" spans="1:25" s="332" customFormat="1" ht="21" customHeight="1" x14ac:dyDescent="0.5">
      <c r="A16" s="650"/>
      <c r="B16" s="651"/>
      <c r="C16" s="651"/>
      <c r="D16" s="651"/>
      <c r="E16" s="654"/>
      <c r="F16" s="658" t="s">
        <v>489</v>
      </c>
      <c r="G16" s="658"/>
      <c r="H16" s="658"/>
      <c r="I16" s="654"/>
      <c r="J16" s="657"/>
      <c r="K16" s="329">
        <v>30</v>
      </c>
      <c r="L16" s="324">
        <f t="shared" si="0"/>
        <v>1.2181</v>
      </c>
      <c r="N16" s="305"/>
      <c r="Q16" s="305"/>
      <c r="R16" s="332" t="s">
        <v>488</v>
      </c>
      <c r="U16" s="330">
        <v>30000000</v>
      </c>
      <c r="V16" s="337">
        <f>+[2]Sheet1!H14</f>
        <v>1.2181</v>
      </c>
      <c r="X16" s="321">
        <v>30000000</v>
      </c>
      <c r="Y16" s="321">
        <v>40000000</v>
      </c>
    </row>
    <row r="17" spans="1:25" s="332" customFormat="1" ht="24" thickBot="1" x14ac:dyDescent="0.55000000000000004">
      <c r="A17" s="633" t="s">
        <v>490</v>
      </c>
      <c r="B17" s="349" t="s">
        <v>491</v>
      </c>
      <c r="C17" s="349"/>
      <c r="D17" s="349"/>
      <c r="E17" s="349"/>
      <c r="F17" s="349"/>
      <c r="G17" s="350" t="s">
        <v>492</v>
      </c>
      <c r="H17" s="636">
        <f>+[2]Sheet1!G2</f>
        <v>10756271.1</v>
      </c>
      <c r="I17" s="637"/>
      <c r="J17" s="638"/>
      <c r="K17" s="329">
        <v>40</v>
      </c>
      <c r="L17" s="324">
        <f t="shared" si="0"/>
        <v>1.2177</v>
      </c>
      <c r="N17" s="305"/>
      <c r="Q17" s="305"/>
      <c r="U17" s="330">
        <v>40000000</v>
      </c>
      <c r="V17" s="331">
        <f>+[2]Sheet1!H15</f>
        <v>1.2177</v>
      </c>
      <c r="X17" s="321">
        <v>40000000</v>
      </c>
      <c r="Y17" s="321">
        <v>50000000</v>
      </c>
    </row>
    <row r="18" spans="1:25" s="332" customFormat="1" ht="24" thickBot="1" x14ac:dyDescent="0.55000000000000004">
      <c r="A18" s="634"/>
      <c r="B18" s="351" t="s">
        <v>493</v>
      </c>
      <c r="C18" s="351"/>
      <c r="D18" s="351"/>
      <c r="E18" s="351"/>
      <c r="F18" s="351"/>
      <c r="G18" s="352" t="s">
        <v>492</v>
      </c>
      <c r="H18" s="639">
        <f>P11</f>
        <v>25000000</v>
      </c>
      <c r="I18" s="640"/>
      <c r="J18" s="641"/>
      <c r="K18" s="329">
        <v>50</v>
      </c>
      <c r="L18" s="324">
        <f t="shared" si="0"/>
        <v>1.2176</v>
      </c>
      <c r="N18" s="305"/>
      <c r="P18" s="353">
        <f>+(($C$23-$E$23)*($G$23-$I$23))/($E$24-$G$24)</f>
        <v>1.9727035771801849E-3</v>
      </c>
      <c r="Q18" s="305"/>
      <c r="U18" s="330">
        <v>50000000</v>
      </c>
      <c r="V18" s="337">
        <f>+[2]Sheet1!H16</f>
        <v>1.2176</v>
      </c>
      <c r="X18" s="321">
        <v>50000000</v>
      </c>
      <c r="Y18" s="321">
        <v>60000000</v>
      </c>
    </row>
    <row r="19" spans="1:25" s="332" customFormat="1" ht="24" thickBot="1" x14ac:dyDescent="0.55000000000000004">
      <c r="A19" s="634"/>
      <c r="B19" s="351" t="s">
        <v>494</v>
      </c>
      <c r="C19" s="351"/>
      <c r="D19" s="351"/>
      <c r="E19" s="351"/>
      <c r="F19" s="351"/>
      <c r="G19" s="352" t="s">
        <v>492</v>
      </c>
      <c r="H19" s="639">
        <f>P12</f>
        <v>30000000</v>
      </c>
      <c r="I19" s="640"/>
      <c r="J19" s="641"/>
      <c r="K19" s="329">
        <v>60</v>
      </c>
      <c r="L19" s="324">
        <f t="shared" si="0"/>
        <v>1.2078</v>
      </c>
      <c r="N19" s="305"/>
      <c r="P19" s="354">
        <f>ROUNDDOWN(P18,6)</f>
        <v>1.9719999999999998E-3</v>
      </c>
      <c r="Q19" s="355"/>
      <c r="U19" s="330">
        <v>60000000</v>
      </c>
      <c r="V19" s="331">
        <f>+[2]Sheet1!H17</f>
        <v>1.2078</v>
      </c>
      <c r="X19" s="321">
        <v>60000000</v>
      </c>
      <c r="Y19" s="321">
        <v>70000000</v>
      </c>
    </row>
    <row r="20" spans="1:25" s="332" customFormat="1" ht="24" thickBot="1" x14ac:dyDescent="0.55000000000000004">
      <c r="A20" s="634"/>
      <c r="B20" s="351" t="s">
        <v>495</v>
      </c>
      <c r="C20" s="351"/>
      <c r="D20" s="351"/>
      <c r="E20" s="351"/>
      <c r="F20" s="351"/>
      <c r="G20" s="352" t="s">
        <v>492</v>
      </c>
      <c r="H20" s="642">
        <f>R11</f>
        <v>1.2264999999999999</v>
      </c>
      <c r="I20" s="642"/>
      <c r="J20" s="643"/>
      <c r="K20" s="329">
        <v>70</v>
      </c>
      <c r="L20" s="324">
        <f t="shared" si="0"/>
        <v>1.2067000000000001</v>
      </c>
      <c r="N20" s="305"/>
      <c r="P20" s="356">
        <f>+A23-P19</f>
        <v>1.2245279999999998</v>
      </c>
      <c r="Q20" s="305"/>
      <c r="U20" s="330">
        <v>70000000</v>
      </c>
      <c r="V20" s="357">
        <f>+[2]Sheet1!H18</f>
        <v>1.2067000000000001</v>
      </c>
      <c r="X20" s="321">
        <v>70000000</v>
      </c>
      <c r="Y20" s="321">
        <v>80000000</v>
      </c>
    </row>
    <row r="21" spans="1:25" s="332" customFormat="1" x14ac:dyDescent="0.5">
      <c r="A21" s="635"/>
      <c r="B21" s="358" t="s">
        <v>496</v>
      </c>
      <c r="C21" s="358"/>
      <c r="D21" s="358"/>
      <c r="E21" s="358"/>
      <c r="F21" s="358"/>
      <c r="G21" s="359" t="s">
        <v>492</v>
      </c>
      <c r="H21" s="644">
        <f>R12</f>
        <v>1.2181</v>
      </c>
      <c r="I21" s="644"/>
      <c r="J21" s="645"/>
      <c r="K21" s="329">
        <v>80</v>
      </c>
      <c r="L21" s="324">
        <f t="shared" si="0"/>
        <v>1.2067000000000001</v>
      </c>
      <c r="N21" s="305"/>
      <c r="Q21" s="306"/>
      <c r="U21" s="330">
        <v>80000000</v>
      </c>
      <c r="V21" s="331">
        <f>+[2]Sheet1!H19</f>
        <v>1.2067000000000001</v>
      </c>
      <c r="X21" s="321">
        <v>80000000</v>
      </c>
      <c r="Y21" s="321">
        <v>90000000</v>
      </c>
    </row>
    <row r="22" spans="1:25" s="332" customFormat="1" x14ac:dyDescent="0.5">
      <c r="A22" s="360"/>
      <c r="B22" s="361" t="s">
        <v>497</v>
      </c>
      <c r="C22" s="362"/>
      <c r="D22" s="362"/>
      <c r="E22" s="362"/>
      <c r="F22" s="362"/>
      <c r="G22" s="362"/>
      <c r="H22" s="362"/>
      <c r="I22" s="362"/>
      <c r="J22" s="363"/>
      <c r="K22" s="329">
        <v>90</v>
      </c>
      <c r="L22" s="324">
        <f t="shared" si="0"/>
        <v>1.2065999999999999</v>
      </c>
      <c r="N22" s="305"/>
      <c r="Q22" s="305"/>
      <c r="U22" s="330">
        <v>90000000</v>
      </c>
      <c r="V22" s="337">
        <f>+[2]Sheet1!H20</f>
        <v>1.2065999999999999</v>
      </c>
      <c r="X22" s="321">
        <v>90000000</v>
      </c>
      <c r="Y22" s="321">
        <v>100000000</v>
      </c>
    </row>
    <row r="23" spans="1:25" s="332" customFormat="1" x14ac:dyDescent="0.5">
      <c r="A23" s="364">
        <f>R11</f>
        <v>1.2264999999999999</v>
      </c>
      <c r="B23" s="365" t="s">
        <v>498</v>
      </c>
      <c r="C23" s="366">
        <f>R11</f>
        <v>1.2264999999999999</v>
      </c>
      <c r="D23" s="366" t="s">
        <v>499</v>
      </c>
      <c r="E23" s="367">
        <f>R12</f>
        <v>1.2181</v>
      </c>
      <c r="F23" s="368" t="s">
        <v>500</v>
      </c>
      <c r="G23" s="368">
        <f>P10</f>
        <v>26174228.319750115</v>
      </c>
      <c r="H23" s="368" t="s">
        <v>499</v>
      </c>
      <c r="I23" s="369">
        <f>P11</f>
        <v>25000000</v>
      </c>
      <c r="J23" s="370" t="s">
        <v>501</v>
      </c>
      <c r="K23" s="329">
        <v>100</v>
      </c>
      <c r="L23" s="324">
        <f t="shared" si="0"/>
        <v>1.2065999999999999</v>
      </c>
      <c r="N23" s="305"/>
      <c r="U23" s="330">
        <v>100000000</v>
      </c>
      <c r="V23" s="331">
        <f>+[2]Sheet1!H21</f>
        <v>1.2065999999999999</v>
      </c>
      <c r="X23" s="321">
        <v>100000000</v>
      </c>
      <c r="Y23" s="321">
        <v>150000000</v>
      </c>
    </row>
    <row r="24" spans="1:25" s="332" customFormat="1" x14ac:dyDescent="0.5">
      <c r="A24" s="371"/>
      <c r="B24" s="372"/>
      <c r="C24" s="372"/>
      <c r="D24" s="365" t="s">
        <v>502</v>
      </c>
      <c r="E24" s="373">
        <f>P12</f>
        <v>30000000</v>
      </c>
      <c r="F24" s="372" t="s">
        <v>499</v>
      </c>
      <c r="G24" s="373">
        <f>P11</f>
        <v>25000000</v>
      </c>
      <c r="H24" s="374" t="s">
        <v>501</v>
      </c>
      <c r="I24" s="372"/>
      <c r="J24" s="375"/>
      <c r="K24" s="329">
        <v>150</v>
      </c>
      <c r="L24" s="324">
        <f t="shared" si="0"/>
        <v>1.2039</v>
      </c>
      <c r="N24" s="305"/>
      <c r="Q24" s="305"/>
      <c r="U24" s="330">
        <v>150000000</v>
      </c>
      <c r="V24" s="337">
        <f>+[2]Sheet1!H22</f>
        <v>1.2039</v>
      </c>
      <c r="X24" s="321">
        <v>150000000</v>
      </c>
      <c r="Y24" s="321">
        <v>200000000</v>
      </c>
    </row>
    <row r="25" spans="1:25" s="332" customFormat="1" ht="21.75" customHeight="1" x14ac:dyDescent="0.5">
      <c r="A25" s="371"/>
      <c r="B25" s="376"/>
      <c r="C25" s="365"/>
      <c r="D25" s="365"/>
      <c r="E25" s="365"/>
      <c r="F25" s="377"/>
      <c r="G25" s="377"/>
      <c r="H25" s="377"/>
      <c r="I25" s="377"/>
      <c r="J25" s="378"/>
      <c r="K25" s="329">
        <v>200</v>
      </c>
      <c r="L25" s="324">
        <f t="shared" si="0"/>
        <v>1.2039</v>
      </c>
      <c r="N25" s="305"/>
      <c r="Q25" s="305"/>
      <c r="R25" s="379"/>
      <c r="U25" s="330">
        <v>200000000</v>
      </c>
      <c r="V25" s="331">
        <f>+[2]Sheet1!H23</f>
        <v>1.2039</v>
      </c>
      <c r="X25" s="321">
        <v>200000000</v>
      </c>
      <c r="Y25" s="321">
        <v>250000000</v>
      </c>
    </row>
    <row r="26" spans="1:25" s="332" customFormat="1" x14ac:dyDescent="0.5">
      <c r="A26" s="371"/>
      <c r="B26" s="372"/>
      <c r="C26" s="380" t="s">
        <v>503</v>
      </c>
      <c r="D26" s="372"/>
      <c r="E26" s="372"/>
      <c r="F26" s="372"/>
      <c r="G26" s="373">
        <f>P8</f>
        <v>26174228.319750115</v>
      </c>
      <c r="H26" s="372"/>
      <c r="I26" s="374" t="s">
        <v>504</v>
      </c>
      <c r="J26" s="372"/>
      <c r="K26" s="329">
        <v>250</v>
      </c>
      <c r="L26" s="324">
        <f t="shared" si="0"/>
        <v>1.2031000000000001</v>
      </c>
      <c r="N26" s="305"/>
      <c r="Q26" s="305"/>
      <c r="R26" s="379"/>
      <c r="U26" s="330">
        <v>250000000</v>
      </c>
      <c r="V26" s="337">
        <f>+[2]Sheet1!H24</f>
        <v>1.2031000000000001</v>
      </c>
      <c r="X26" s="321">
        <v>250000000</v>
      </c>
      <c r="Y26" s="321">
        <v>300000000</v>
      </c>
    </row>
    <row r="27" spans="1:25" s="332" customFormat="1" ht="24" thickBot="1" x14ac:dyDescent="0.55000000000000004">
      <c r="A27" s="371"/>
      <c r="B27" s="381"/>
      <c r="C27" s="380" t="s">
        <v>505</v>
      </c>
      <c r="D27" s="381"/>
      <c r="E27" s="381"/>
      <c r="F27" s="381"/>
      <c r="G27" s="390">
        <f>+P20</f>
        <v>1.2245279999999998</v>
      </c>
      <c r="H27" s="381"/>
      <c r="I27" s="381"/>
      <c r="J27" s="381"/>
      <c r="K27" s="329">
        <v>300</v>
      </c>
      <c r="L27" s="324">
        <f t="shared" si="0"/>
        <v>1.1969000000000001</v>
      </c>
      <c r="N27" s="305"/>
      <c r="Q27" s="305"/>
      <c r="R27" s="379"/>
      <c r="U27" s="330">
        <v>300000000</v>
      </c>
      <c r="V27" s="331">
        <f>+[2]Sheet1!H25</f>
        <v>1.1969000000000001</v>
      </c>
      <c r="X27" s="321">
        <v>300000000</v>
      </c>
      <c r="Y27" s="321">
        <v>350000000</v>
      </c>
    </row>
    <row r="28" spans="1:25" s="332" customFormat="1" ht="24" thickTop="1" x14ac:dyDescent="0.5">
      <c r="A28" s="371"/>
      <c r="B28" s="381"/>
      <c r="C28" s="381"/>
      <c r="D28" s="381"/>
      <c r="E28" s="381"/>
      <c r="F28" s="381"/>
      <c r="G28" s="381"/>
      <c r="H28" s="381"/>
      <c r="I28" s="381"/>
      <c r="J28" s="381"/>
      <c r="K28" s="329">
        <v>350</v>
      </c>
      <c r="L28" s="324">
        <f t="shared" si="0"/>
        <v>1.1883999999999999</v>
      </c>
      <c r="N28" s="305"/>
      <c r="Q28" s="305"/>
      <c r="R28" s="382"/>
      <c r="U28" s="330">
        <v>350000000</v>
      </c>
      <c r="V28" s="337">
        <f>+[2]Sheet1!H26</f>
        <v>1.1883999999999999</v>
      </c>
      <c r="X28" s="321">
        <v>350000000</v>
      </c>
      <c r="Y28" s="321">
        <v>400000000</v>
      </c>
    </row>
    <row r="29" spans="1:25" s="332" customFormat="1" x14ac:dyDescent="0.5">
      <c r="A29" s="371"/>
      <c r="B29" s="381"/>
      <c r="C29" s="381"/>
      <c r="D29" s="381"/>
      <c r="E29" s="381"/>
      <c r="F29" s="381"/>
      <c r="G29" s="381"/>
      <c r="H29" s="381"/>
      <c r="I29" s="381" t="s">
        <v>488</v>
      </c>
      <c r="J29" s="381"/>
      <c r="K29" s="329">
        <v>400</v>
      </c>
      <c r="L29" s="324">
        <f t="shared" si="0"/>
        <v>1.1877</v>
      </c>
      <c r="N29" s="305"/>
      <c r="Q29" s="305"/>
      <c r="R29" s="379"/>
      <c r="U29" s="330">
        <v>400000000</v>
      </c>
      <c r="V29" s="331">
        <f>+[2]Sheet1!H27</f>
        <v>1.1877</v>
      </c>
      <c r="X29" s="321">
        <v>400000000</v>
      </c>
      <c r="Y29" s="321">
        <v>500000000</v>
      </c>
    </row>
    <row r="30" spans="1:25" s="332" customFormat="1" x14ac:dyDescent="0.5">
      <c r="A30" s="371"/>
      <c r="B30" s="381"/>
      <c r="C30" s="381"/>
      <c r="D30" s="381"/>
      <c r="E30" s="381"/>
      <c r="F30" s="381"/>
      <c r="G30" s="381"/>
      <c r="H30" s="381"/>
      <c r="I30" s="381"/>
      <c r="J30" s="381"/>
      <c r="K30" s="329">
        <v>500</v>
      </c>
      <c r="L30" s="324">
        <f t="shared" si="0"/>
        <v>1.1871</v>
      </c>
      <c r="N30" s="305"/>
      <c r="Q30" s="305"/>
      <c r="R30" s="379"/>
      <c r="U30" s="330">
        <v>500000000</v>
      </c>
      <c r="V30" s="337">
        <f>+[2]Sheet1!H28</f>
        <v>1.1871</v>
      </c>
      <c r="X30" s="321">
        <v>500000000</v>
      </c>
      <c r="Y30" s="321">
        <v>500000001</v>
      </c>
    </row>
    <row r="31" spans="1:25" s="332" customFormat="1" ht="24" thickBot="1" x14ac:dyDescent="0.55000000000000004">
      <c r="A31" s="383"/>
      <c r="B31" s="384"/>
      <c r="C31" s="384"/>
      <c r="D31" s="384"/>
      <c r="E31" s="384"/>
      <c r="F31" s="384"/>
      <c r="G31" s="384"/>
      <c r="H31" s="384"/>
      <c r="I31" s="384"/>
      <c r="J31" s="384"/>
      <c r="K31" s="385" t="s">
        <v>506</v>
      </c>
      <c r="L31" s="386">
        <f t="shared" si="0"/>
        <v>1.1805000000000001</v>
      </c>
      <c r="N31" s="305"/>
      <c r="Q31" s="305"/>
      <c r="R31" s="379"/>
      <c r="U31" s="387">
        <v>500000001</v>
      </c>
      <c r="V31" s="388">
        <f>+[2]Sheet1!H29</f>
        <v>1.1805000000000001</v>
      </c>
      <c r="X31" s="321">
        <v>500000001</v>
      </c>
      <c r="Y31" s="389"/>
    </row>
    <row r="32" spans="1:25" x14ac:dyDescent="0.5">
      <c r="A32" s="332"/>
    </row>
    <row r="33" spans="1:11" x14ac:dyDescent="0.5">
      <c r="A33" s="332"/>
    </row>
    <row r="34" spans="1:11" x14ac:dyDescent="0.5">
      <c r="G34" s="632"/>
      <c r="H34" s="632"/>
      <c r="I34" s="632"/>
      <c r="J34" s="632"/>
      <c r="K34" s="632"/>
    </row>
  </sheetData>
  <sheetProtection selectLockedCells="1" selectUnlockedCells="1"/>
  <mergeCells count="24">
    <mergeCell ref="A12:J13"/>
    <mergeCell ref="A1:L1"/>
    <mergeCell ref="K3:L3"/>
    <mergeCell ref="A5:L5"/>
    <mergeCell ref="A6:J7"/>
    <mergeCell ref="L6:L7"/>
    <mergeCell ref="A8:A11"/>
    <mergeCell ref="B8:I8"/>
    <mergeCell ref="B9:I9"/>
    <mergeCell ref="B10:I10"/>
    <mergeCell ref="B11:I11"/>
    <mergeCell ref="A14:D16"/>
    <mergeCell ref="E14:E16"/>
    <mergeCell ref="F14:H15"/>
    <mergeCell ref="I14:I16"/>
    <mergeCell ref="J14:J16"/>
    <mergeCell ref="F16:H16"/>
    <mergeCell ref="G34:K34"/>
    <mergeCell ref="A17:A21"/>
    <mergeCell ref="H17:J17"/>
    <mergeCell ref="H18:J18"/>
    <mergeCell ref="H19:J19"/>
    <mergeCell ref="H20:J20"/>
    <mergeCell ref="H21:J21"/>
  </mergeCells>
  <printOptions horizontalCentered="1"/>
  <pageMargins left="0.44" right="0.19685039370078741" top="0.6692913385826772" bottom="0.6692913385826772" header="0.19685039370078741" footer="0.27559055118110237"/>
  <pageSetup paperSize="9" orientation="portrait" r:id="rId1"/>
  <headerFooter alignWithMargins="0">
    <oddHeader>&amp;R&amp;"TH SarabunPSK,ธรรมดา"&amp;12&amp;F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A6D2-94B8-4E9A-B6F3-4F68F9DEF05E}">
  <dimension ref="A1:G27"/>
  <sheetViews>
    <sheetView zoomScale="70" zoomScaleNormal="70" workbookViewId="0">
      <selection activeCell="B24" sqref="B24"/>
    </sheetView>
  </sheetViews>
  <sheetFormatPr defaultColWidth="9.140625" defaultRowHeight="21" x14ac:dyDescent="0.2"/>
  <cols>
    <col min="1" max="1" width="20.7109375" style="207" customWidth="1"/>
    <col min="2" max="2" width="9.140625" style="220"/>
    <col min="3" max="3" width="20.7109375" style="207" customWidth="1"/>
    <col min="4" max="4" width="9.140625" style="207"/>
    <col min="5" max="5" width="20.7109375" style="207" customWidth="1"/>
    <col min="6" max="16384" width="9.140625" style="207"/>
  </cols>
  <sheetData>
    <row r="1" spans="1:7" ht="21.75" thickBot="1" x14ac:dyDescent="0.25">
      <c r="A1" s="202" t="s">
        <v>207</v>
      </c>
      <c r="B1" s="297">
        <v>2187.38</v>
      </c>
      <c r="C1" s="204" t="s">
        <v>208</v>
      </c>
      <c r="D1" s="205">
        <v>2237.39</v>
      </c>
      <c r="E1" s="204" t="s">
        <v>209</v>
      </c>
      <c r="F1" s="205">
        <v>2500</v>
      </c>
      <c r="G1" s="206" t="s">
        <v>210</v>
      </c>
    </row>
    <row r="2" spans="1:7" ht="21.75" thickBot="1" x14ac:dyDescent="0.25">
      <c r="A2" s="208" t="s">
        <v>196</v>
      </c>
      <c r="B2" s="298">
        <v>2092.5300000000002</v>
      </c>
    </row>
    <row r="3" spans="1:7" x14ac:dyDescent="0.2">
      <c r="A3" s="202" t="s">
        <v>211</v>
      </c>
      <c r="B3" s="297">
        <v>22.19</v>
      </c>
    </row>
    <row r="4" spans="1:7" x14ac:dyDescent="0.2">
      <c r="A4" s="208" t="s">
        <v>212</v>
      </c>
      <c r="B4" s="298">
        <v>21.22</v>
      </c>
    </row>
    <row r="5" spans="1:7" x14ac:dyDescent="0.2">
      <c r="A5" s="210" t="s">
        <v>213</v>
      </c>
      <c r="B5" s="299">
        <v>21.43</v>
      </c>
    </row>
    <row r="6" spans="1:7" x14ac:dyDescent="0.2">
      <c r="A6" s="212" t="s">
        <v>214</v>
      </c>
      <c r="B6" s="299">
        <v>22.56</v>
      </c>
    </row>
    <row r="7" spans="1:7" x14ac:dyDescent="0.2">
      <c r="A7" s="212" t="s">
        <v>215</v>
      </c>
      <c r="B7" s="299">
        <v>23.31</v>
      </c>
    </row>
    <row r="8" spans="1:7" ht="21.75" thickBot="1" x14ac:dyDescent="0.25">
      <c r="A8" s="213" t="s">
        <v>216</v>
      </c>
      <c r="B8" s="300">
        <v>22.53</v>
      </c>
    </row>
    <row r="9" spans="1:7" x14ac:dyDescent="0.2">
      <c r="A9" s="210" t="s">
        <v>217</v>
      </c>
      <c r="B9" s="203">
        <v>22.27</v>
      </c>
    </row>
    <row r="10" spans="1:7" x14ac:dyDescent="0.2">
      <c r="A10" s="208" t="s">
        <v>218</v>
      </c>
      <c r="B10" s="209">
        <v>22.28</v>
      </c>
    </row>
    <row r="11" spans="1:7" x14ac:dyDescent="0.2">
      <c r="A11" s="210" t="s">
        <v>219</v>
      </c>
      <c r="B11" s="215">
        <v>22.27</v>
      </c>
    </row>
    <row r="12" spans="1:7" ht="21.75" thickBot="1" x14ac:dyDescent="0.25">
      <c r="A12" s="216" t="s">
        <v>220</v>
      </c>
      <c r="B12" s="217">
        <v>22.27</v>
      </c>
    </row>
    <row r="13" spans="1:7" x14ac:dyDescent="0.2">
      <c r="A13" s="218" t="s">
        <v>221</v>
      </c>
      <c r="B13" s="203">
        <v>20.45</v>
      </c>
    </row>
    <row r="14" spans="1:7" x14ac:dyDescent="0.2">
      <c r="A14" s="210" t="s">
        <v>222</v>
      </c>
      <c r="B14" s="219">
        <v>20.45</v>
      </c>
    </row>
    <row r="15" spans="1:7" x14ac:dyDescent="0.2">
      <c r="A15" s="208" t="s">
        <v>223</v>
      </c>
      <c r="B15" s="211">
        <v>20.239999999999998</v>
      </c>
    </row>
    <row r="16" spans="1:7" x14ac:dyDescent="0.2">
      <c r="A16" s="210" t="s">
        <v>224</v>
      </c>
      <c r="B16" s="219">
        <v>21.24</v>
      </c>
    </row>
    <row r="17" spans="1:2" x14ac:dyDescent="0.2">
      <c r="A17" s="208" t="s">
        <v>225</v>
      </c>
      <c r="B17" s="209">
        <v>21.91</v>
      </c>
    </row>
    <row r="18" spans="1:2" x14ac:dyDescent="0.2">
      <c r="A18" s="210" t="s">
        <v>226</v>
      </c>
      <c r="B18" s="215">
        <v>22</v>
      </c>
    </row>
    <row r="19" spans="1:2" ht="21.75" thickBot="1" x14ac:dyDescent="0.25">
      <c r="A19" s="216" t="s">
        <v>227</v>
      </c>
      <c r="B19" s="217">
        <v>22</v>
      </c>
    </row>
    <row r="20" spans="1:2" x14ac:dyDescent="0.2">
      <c r="A20" s="218" t="s">
        <v>26</v>
      </c>
      <c r="B20" s="203">
        <v>40.89</v>
      </c>
    </row>
    <row r="21" spans="1:2" ht="21.75" thickBot="1" x14ac:dyDescent="0.25">
      <c r="A21" s="213" t="s">
        <v>181</v>
      </c>
      <c r="B21" s="214">
        <v>46.73</v>
      </c>
    </row>
    <row r="22" spans="1:2" x14ac:dyDescent="0.2">
      <c r="A22" s="210" t="s">
        <v>136</v>
      </c>
      <c r="B22" s="209">
        <v>654.21</v>
      </c>
    </row>
    <row r="23" spans="1:2" x14ac:dyDescent="0.2">
      <c r="A23" s="208" t="s">
        <v>228</v>
      </c>
      <c r="B23" s="215">
        <v>717.76</v>
      </c>
    </row>
    <row r="24" spans="1:2" x14ac:dyDescent="0.2">
      <c r="A24" s="210" t="s">
        <v>229</v>
      </c>
      <c r="B24" s="211">
        <v>355.14</v>
      </c>
    </row>
    <row r="25" spans="1:2" x14ac:dyDescent="0.2">
      <c r="A25" s="208" t="s">
        <v>230</v>
      </c>
      <c r="B25" s="215">
        <v>300</v>
      </c>
    </row>
    <row r="26" spans="1:2" ht="21.75" thickBot="1" x14ac:dyDescent="0.25">
      <c r="A26" s="213" t="s">
        <v>231</v>
      </c>
      <c r="B26" s="217">
        <v>450</v>
      </c>
    </row>
    <row r="27" spans="1:2" x14ac:dyDescent="0.2">
      <c r="A27" s="207" t="s">
        <v>513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E807-2E71-4461-A881-F4D8B1E21E0F}">
  <dimension ref="A1:P43"/>
  <sheetViews>
    <sheetView workbookViewId="0">
      <pane ySplit="1" topLeftCell="A2" activePane="bottomLeft" state="frozen"/>
      <selection pane="bottomLeft" activeCell="I22" sqref="I22"/>
    </sheetView>
  </sheetViews>
  <sheetFormatPr defaultColWidth="9.140625" defaultRowHeight="21" x14ac:dyDescent="0.45"/>
  <cols>
    <col min="1" max="1" width="12" style="80" customWidth="1"/>
    <col min="2" max="2" width="9.5703125" style="80" customWidth="1"/>
    <col min="3" max="3" width="9.85546875" style="80" customWidth="1"/>
    <col min="4" max="4" width="12" style="80" customWidth="1"/>
    <col min="5" max="5" width="11" style="80" customWidth="1"/>
    <col min="6" max="6" width="11.5703125" style="80" customWidth="1"/>
    <col min="7" max="8" width="10.5703125" style="80" customWidth="1"/>
    <col min="9" max="9" width="10.140625" style="80" customWidth="1"/>
    <col min="10" max="10" width="11.28515625" style="80" customWidth="1"/>
    <col min="11" max="11" width="9.140625" style="92"/>
    <col min="12" max="16384" width="9.140625" style="80"/>
  </cols>
  <sheetData>
    <row r="1" spans="1:16" s="79" customFormat="1" x14ac:dyDescent="0.45">
      <c r="B1" s="79" t="s">
        <v>99</v>
      </c>
      <c r="C1" s="79" t="s">
        <v>100</v>
      </c>
      <c r="D1" s="79" t="s">
        <v>101</v>
      </c>
      <c r="E1" s="79" t="s">
        <v>102</v>
      </c>
      <c r="F1" s="79" t="s">
        <v>103</v>
      </c>
      <c r="G1" s="79" t="s">
        <v>104</v>
      </c>
      <c r="H1" s="79" t="s">
        <v>105</v>
      </c>
      <c r="I1" s="79" t="s">
        <v>106</v>
      </c>
      <c r="J1" s="79" t="s">
        <v>107</v>
      </c>
      <c r="K1" s="92" t="s">
        <v>136</v>
      </c>
    </row>
    <row r="2" spans="1:16" x14ac:dyDescent="0.45">
      <c r="P2" s="80" t="s">
        <v>148</v>
      </c>
    </row>
    <row r="3" spans="1:16" x14ac:dyDescent="0.45">
      <c r="A3" s="80" t="s">
        <v>457</v>
      </c>
      <c r="B3" s="80">
        <f>2.88*45</f>
        <v>129.6</v>
      </c>
      <c r="C3" s="80">
        <f t="shared" ref="C3:C12" si="0">0.3*0.3*B3</f>
        <v>11.664</v>
      </c>
      <c r="D3" s="81">
        <f>B3/0.2*3*1.2</f>
        <v>2332.7999999999993</v>
      </c>
      <c r="E3" s="81"/>
      <c r="G3" s="80">
        <f>B3*16</f>
        <v>2073.6</v>
      </c>
      <c r="J3" s="80">
        <f>0.3*4*B3</f>
        <v>155.51999999999998</v>
      </c>
      <c r="O3" s="80" t="s">
        <v>147</v>
      </c>
      <c r="P3" s="80">
        <f>2.88*45</f>
        <v>129.6</v>
      </c>
    </row>
    <row r="4" spans="1:16" x14ac:dyDescent="0.45">
      <c r="A4" s="80" t="s">
        <v>147</v>
      </c>
      <c r="B4" s="80">
        <f>2.88*45</f>
        <v>129.6</v>
      </c>
      <c r="C4" s="80">
        <f t="shared" si="0"/>
        <v>11.664</v>
      </c>
      <c r="D4" s="81">
        <f>B4/0.2*3*1.2</f>
        <v>2332.7999999999993</v>
      </c>
      <c r="E4" s="81"/>
      <c r="G4" s="80">
        <f>B4*12</f>
        <v>1555.1999999999998</v>
      </c>
      <c r="J4" s="80">
        <f t="shared" ref="J4:J12" si="1">0.3*4*B4</f>
        <v>155.51999999999998</v>
      </c>
      <c r="O4" s="80" t="s">
        <v>149</v>
      </c>
      <c r="P4" s="80">
        <f>2.88*45</f>
        <v>129.6</v>
      </c>
    </row>
    <row r="5" spans="1:16" x14ac:dyDescent="0.45">
      <c r="A5" s="80" t="s">
        <v>149</v>
      </c>
      <c r="B5" s="80">
        <f>2.88*45</f>
        <v>129.6</v>
      </c>
      <c r="C5" s="80">
        <f t="shared" si="0"/>
        <v>11.664</v>
      </c>
      <c r="D5" s="81">
        <f>B5/0.2*2*1.2</f>
        <v>1555.1999999999996</v>
      </c>
      <c r="E5" s="81"/>
      <c r="F5" s="80">
        <f>B5*8</f>
        <v>1036.8</v>
      </c>
      <c r="J5" s="80">
        <f t="shared" si="1"/>
        <v>155.51999999999998</v>
      </c>
      <c r="M5" s="80" t="s">
        <v>143</v>
      </c>
      <c r="O5" s="80" t="s">
        <v>150</v>
      </c>
      <c r="P5" s="80">
        <f>2.88*45</f>
        <v>129.6</v>
      </c>
    </row>
    <row r="6" spans="1:16" x14ac:dyDescent="0.45">
      <c r="A6" s="80" t="s">
        <v>150</v>
      </c>
      <c r="B6" s="80">
        <f>2.88*45</f>
        <v>129.6</v>
      </c>
      <c r="C6" s="80">
        <f>0.3*0.3*B6</f>
        <v>11.664</v>
      </c>
      <c r="D6" s="81">
        <f>B6/0.2*2*1.2</f>
        <v>1555.1999999999996</v>
      </c>
      <c r="E6" s="81"/>
      <c r="F6" s="80">
        <f>B6*8</f>
        <v>1036.8</v>
      </c>
      <c r="J6" s="80">
        <f>0.3*4*B6</f>
        <v>155.51999999999998</v>
      </c>
      <c r="M6" s="80" t="s">
        <v>143</v>
      </c>
      <c r="O6" s="80" t="s">
        <v>150</v>
      </c>
      <c r="P6" s="80">
        <f>2.88*45</f>
        <v>129.6</v>
      </c>
    </row>
    <row r="7" spans="1:16" x14ac:dyDescent="0.45">
      <c r="A7" s="80" t="s">
        <v>151</v>
      </c>
      <c r="B7" s="80">
        <f>2.88*45</f>
        <v>129.6</v>
      </c>
      <c r="C7" s="80">
        <f t="shared" si="0"/>
        <v>11.664</v>
      </c>
      <c r="D7" s="81">
        <f>B7/0.2*2*1.2</f>
        <v>1555.1999999999996</v>
      </c>
      <c r="E7" s="81"/>
      <c r="F7" s="80">
        <f>B7*8</f>
        <v>1036.8</v>
      </c>
      <c r="J7" s="80">
        <f t="shared" si="1"/>
        <v>155.51999999999998</v>
      </c>
    </row>
    <row r="8" spans="1:16" x14ac:dyDescent="0.45">
      <c r="A8" s="80" t="s">
        <v>456</v>
      </c>
      <c r="B8" s="82">
        <f>2.88*6</f>
        <v>17.28</v>
      </c>
      <c r="C8" s="80">
        <f t="shared" si="0"/>
        <v>1.5552000000000001</v>
      </c>
      <c r="D8" s="80">
        <f>B8/0.2*3*1.2</f>
        <v>311.04000000000002</v>
      </c>
      <c r="E8" s="81"/>
      <c r="H8" s="80">
        <f>16*B8</f>
        <v>276.48</v>
      </c>
      <c r="J8" s="80">
        <f t="shared" si="1"/>
        <v>20.736000000000001</v>
      </c>
    </row>
    <row r="9" spans="1:16" x14ac:dyDescent="0.45">
      <c r="A9" s="82" t="s">
        <v>152</v>
      </c>
      <c r="B9" s="82">
        <f>2.88*6</f>
        <v>17.28</v>
      </c>
      <c r="C9" s="80">
        <f t="shared" si="0"/>
        <v>1.5552000000000001</v>
      </c>
      <c r="D9" s="80">
        <f>B9/0.2*3*1.2</f>
        <v>311.04000000000002</v>
      </c>
      <c r="E9" s="81"/>
      <c r="H9" s="80">
        <f>16*B9</f>
        <v>276.48</v>
      </c>
      <c r="J9" s="80">
        <f t="shared" si="1"/>
        <v>20.736000000000001</v>
      </c>
    </row>
    <row r="10" spans="1:16" x14ac:dyDescent="0.45">
      <c r="A10" s="80" t="s">
        <v>153</v>
      </c>
      <c r="B10" s="82">
        <f>2.88*6</f>
        <v>17.28</v>
      </c>
      <c r="C10" s="80">
        <f>0.3*0.3*B10</f>
        <v>1.5552000000000001</v>
      </c>
      <c r="D10" s="80">
        <f>B10/0.2*3*1.2</f>
        <v>311.04000000000002</v>
      </c>
      <c r="E10" s="81"/>
      <c r="G10" s="80">
        <f>12*B10</f>
        <v>207.36</v>
      </c>
      <c r="J10" s="80">
        <f>0.3*4*B10</f>
        <v>20.736000000000001</v>
      </c>
    </row>
    <row r="11" spans="1:16" x14ac:dyDescent="0.45">
      <c r="A11" s="80" t="s">
        <v>154</v>
      </c>
      <c r="B11" s="82">
        <f>2.88*6</f>
        <v>17.28</v>
      </c>
      <c r="C11" s="80">
        <f t="shared" si="0"/>
        <v>1.5552000000000001</v>
      </c>
      <c r="D11" s="80">
        <f>B11/0.2*3*1.2</f>
        <v>311.04000000000002</v>
      </c>
      <c r="E11" s="81"/>
      <c r="G11" s="80">
        <f>12*B11</f>
        <v>207.36</v>
      </c>
      <c r="J11" s="80">
        <f t="shared" si="1"/>
        <v>20.736000000000001</v>
      </c>
    </row>
    <row r="12" spans="1:16" ht="21.75" thickBot="1" x14ac:dyDescent="0.5">
      <c r="A12" s="82" t="s">
        <v>155</v>
      </c>
      <c r="B12" s="82">
        <f>2.88*6</f>
        <v>17.28</v>
      </c>
      <c r="C12" s="80">
        <f t="shared" si="0"/>
        <v>1.5552000000000001</v>
      </c>
      <c r="D12" s="80">
        <f>B12/0.2*2*1.2</f>
        <v>207.36</v>
      </c>
      <c r="E12" s="81"/>
      <c r="G12" s="80">
        <f>8*B12</f>
        <v>138.24</v>
      </c>
      <c r="J12" s="80">
        <f t="shared" si="1"/>
        <v>20.736000000000001</v>
      </c>
    </row>
    <row r="13" spans="1:16" s="82" customFormat="1" x14ac:dyDescent="0.45">
      <c r="A13" s="94" t="s">
        <v>108</v>
      </c>
      <c r="B13" s="95">
        <v>61.62</v>
      </c>
      <c r="C13" s="95">
        <f>0.1*B13</f>
        <v>6.1619999999999999</v>
      </c>
      <c r="D13" s="95"/>
      <c r="E13" s="95">
        <f>(3.6/0.18*3.2+3.2/0.18*3.6+3.6/0.25*1.1*2+3.2/0.15*1.2*2)/(3.2*3.6)*B13</f>
        <v>1127.9883333333332</v>
      </c>
      <c r="F13" s="95"/>
      <c r="G13" s="95"/>
      <c r="H13" s="95"/>
      <c r="I13" s="95"/>
      <c r="J13" s="95">
        <f>B13</f>
        <v>61.62</v>
      </c>
      <c r="K13" s="96"/>
      <c r="L13" s="95" t="s">
        <v>141</v>
      </c>
      <c r="M13" s="97">
        <f>23.04+3.7+11.84+23.04</f>
        <v>61.62</v>
      </c>
      <c r="O13" s="80" t="s">
        <v>151</v>
      </c>
      <c r="P13" s="80">
        <f>2.88*45</f>
        <v>129.6</v>
      </c>
    </row>
    <row r="14" spans="1:16" s="82" customFormat="1" x14ac:dyDescent="0.45">
      <c r="A14" s="98" t="s">
        <v>156</v>
      </c>
      <c r="B14" s="82">
        <v>76.8</v>
      </c>
      <c r="C14" s="82">
        <f>0.1*B14</f>
        <v>7.68</v>
      </c>
      <c r="E14" s="82">
        <f>8*B14</f>
        <v>614.4</v>
      </c>
      <c r="J14" s="82">
        <f>B14</f>
        <v>76.8</v>
      </c>
      <c r="K14" s="91"/>
      <c r="M14" s="99"/>
      <c r="O14" s="80"/>
      <c r="P14" s="80"/>
    </row>
    <row r="15" spans="1:16" s="82" customFormat="1" x14ac:dyDescent="0.45">
      <c r="A15" s="98" t="s">
        <v>134</v>
      </c>
      <c r="B15" s="82">
        <v>923.3</v>
      </c>
      <c r="C15" s="82">
        <f>0.1*B15</f>
        <v>92.33</v>
      </c>
      <c r="E15" s="82">
        <f>(3.2/0.2*1.85+1.85/0.2*3.2+3.2/0.2*0.65*2+1.85/0.2*0.65*2)/(1.85*3.2)*B15</f>
        <v>14352.480152027025</v>
      </c>
      <c r="J15" s="82">
        <f>B15</f>
        <v>923.3</v>
      </c>
      <c r="K15" s="91"/>
      <c r="L15" s="82" t="s">
        <v>142</v>
      </c>
      <c r="M15" s="99">
        <f>5*15.36</f>
        <v>76.8</v>
      </c>
      <c r="O15" s="80" t="s">
        <v>152</v>
      </c>
      <c r="P15" s="82">
        <f>2.88*8</f>
        <v>23.04</v>
      </c>
    </row>
    <row r="16" spans="1:16" s="82" customFormat="1" x14ac:dyDescent="0.45">
      <c r="A16" s="98" t="s">
        <v>109</v>
      </c>
      <c r="B16" s="82">
        <v>23.04</v>
      </c>
      <c r="C16" s="82">
        <f>0.15*B16</f>
        <v>3.456</v>
      </c>
      <c r="E16" s="82">
        <f>1/0.2*0.8*2*B16</f>
        <v>184.32</v>
      </c>
      <c r="F16" s="82">
        <f>B16*(1/0.15*2+1.1/0.25*2)</f>
        <v>509.952</v>
      </c>
      <c r="J16" s="82">
        <f>B16</f>
        <v>23.04</v>
      </c>
      <c r="K16" s="91"/>
      <c r="L16" s="82" t="s">
        <v>144</v>
      </c>
      <c r="M16" s="99">
        <f>11.52*2</f>
        <v>23.04</v>
      </c>
      <c r="O16" s="82" t="s">
        <v>153</v>
      </c>
      <c r="P16" s="82">
        <f>2.88*8</f>
        <v>23.04</v>
      </c>
    </row>
    <row r="17" spans="1:16" s="82" customFormat="1" x14ac:dyDescent="0.45">
      <c r="A17" s="98" t="s">
        <v>135</v>
      </c>
      <c r="B17" s="82">
        <v>1568.5</v>
      </c>
      <c r="C17" s="82">
        <f>B17*0.05</f>
        <v>78.425000000000011</v>
      </c>
      <c r="D17" s="82">
        <f>1/0.25*2*B17</f>
        <v>12548</v>
      </c>
      <c r="E17" s="82">
        <f>B17*1/0.25*2</f>
        <v>12548</v>
      </c>
      <c r="J17" s="82">
        <f>B17</f>
        <v>1568.5</v>
      </c>
      <c r="K17" s="91"/>
      <c r="L17" s="82" t="s">
        <v>145</v>
      </c>
      <c r="M17" s="99">
        <f>5*185.72+3.7</f>
        <v>932.30000000000007</v>
      </c>
      <c r="O17" s="80" t="s">
        <v>154</v>
      </c>
      <c r="P17" s="82">
        <f>2.88*8</f>
        <v>23.04</v>
      </c>
    </row>
    <row r="18" spans="1:16" s="91" customFormat="1" ht="21.75" thickBot="1" x14ac:dyDescent="0.5">
      <c r="A18" s="100" t="s">
        <v>110</v>
      </c>
      <c r="B18" s="101"/>
      <c r="C18" s="101">
        <f>B18*0.12</f>
        <v>0</v>
      </c>
      <c r="D18" s="101"/>
      <c r="E18" s="101">
        <f>1/0.2*2*B18</f>
        <v>0</v>
      </c>
      <c r="F18" s="101"/>
      <c r="G18" s="101"/>
      <c r="H18" s="101"/>
      <c r="I18" s="101"/>
      <c r="J18" s="101">
        <f>B18*0.5</f>
        <v>0</v>
      </c>
      <c r="K18" s="101">
        <f>B18*0.12</f>
        <v>0</v>
      </c>
      <c r="L18" s="101" t="s">
        <v>146</v>
      </c>
      <c r="M18" s="102">
        <f>(230.4+36.8+46.5)*5</f>
        <v>1568.5</v>
      </c>
      <c r="O18" s="82" t="s">
        <v>155</v>
      </c>
      <c r="P18" s="82">
        <f>2.88*8</f>
        <v>23.04</v>
      </c>
    </row>
    <row r="19" spans="1:16" s="82" customFormat="1" x14ac:dyDescent="0.45">
      <c r="A19" s="82" t="s">
        <v>121</v>
      </c>
      <c r="C19" s="82">
        <f>0.2*0.3*B19</f>
        <v>0</v>
      </c>
      <c r="D19" s="90">
        <f>B19/0.2*1</f>
        <v>0</v>
      </c>
      <c r="F19" s="82">
        <f>4*B19</f>
        <v>0</v>
      </c>
      <c r="J19" s="82">
        <f>0.95*B19</f>
        <v>0</v>
      </c>
      <c r="K19" s="91"/>
    </row>
    <row r="20" spans="1:16" s="103" customFormat="1" x14ac:dyDescent="0.45">
      <c r="A20" s="103" t="s">
        <v>111</v>
      </c>
      <c r="B20" s="103">
        <v>24</v>
      </c>
      <c r="C20" s="103">
        <f>0.2*0.4*B20</f>
        <v>1.9200000000000004</v>
      </c>
      <c r="D20" s="104">
        <f>B20/0.15*1.2</f>
        <v>192</v>
      </c>
      <c r="F20" s="103">
        <f>5*B20</f>
        <v>120</v>
      </c>
      <c r="J20" s="103">
        <f>1*B20</f>
        <v>24</v>
      </c>
      <c r="K20" s="105"/>
    </row>
    <row r="21" spans="1:16" s="82" customFormat="1" x14ac:dyDescent="0.45">
      <c r="A21" s="82" t="s">
        <v>131</v>
      </c>
      <c r="C21" s="82">
        <f>0.2*0.4*B21</f>
        <v>0</v>
      </c>
      <c r="D21" s="90">
        <f>B21/0.15*1.2</f>
        <v>0</v>
      </c>
      <c r="F21" s="82">
        <f>4*B21</f>
        <v>0</v>
      </c>
      <c r="J21" s="82">
        <f>1*B21</f>
        <v>0</v>
      </c>
      <c r="K21" s="91"/>
    </row>
    <row r="22" spans="1:16" s="103" customFormat="1" x14ac:dyDescent="0.45">
      <c r="A22" s="103" t="s">
        <v>112</v>
      </c>
      <c r="B22" s="103">
        <f>11.5+46+53.8</f>
        <v>111.3</v>
      </c>
      <c r="C22" s="103">
        <f>0.12*0.25*B22</f>
        <v>3.339</v>
      </c>
      <c r="D22" s="104">
        <f>B22/0.15*(0.12*2+0.25*2)</f>
        <v>549.08000000000004</v>
      </c>
      <c r="F22" s="103">
        <f>4*B22</f>
        <v>445.2</v>
      </c>
      <c r="J22" s="103">
        <f>(0.12+0.25+0.25)*B22</f>
        <v>69.006</v>
      </c>
      <c r="K22" s="105"/>
    </row>
    <row r="23" spans="1:16" s="103" customFormat="1" x14ac:dyDescent="0.45">
      <c r="A23" s="103" t="s">
        <v>113</v>
      </c>
      <c r="B23" s="103">
        <f>3.7+14.4+14.8+57.6</f>
        <v>90.5</v>
      </c>
      <c r="C23" s="103">
        <f>0.2*0.4*B23</f>
        <v>7.2400000000000011</v>
      </c>
      <c r="D23" s="103">
        <f>B23/0.15*2*(0.2*2+0.4*2)</f>
        <v>1448.0000000000002</v>
      </c>
      <c r="G23" s="103">
        <f>6*B23</f>
        <v>543</v>
      </c>
      <c r="J23" s="103">
        <f>(0.4+0.4+0.2)*B23</f>
        <v>90.5</v>
      </c>
      <c r="K23" s="105"/>
    </row>
    <row r="24" spans="1:16" s="103" customFormat="1" x14ac:dyDescent="0.45">
      <c r="A24" s="103" t="s">
        <v>114</v>
      </c>
      <c r="B24" s="103">
        <f>109+436</f>
        <v>545</v>
      </c>
      <c r="C24" s="103">
        <f>0.4*0.2*B24</f>
        <v>43.600000000000009</v>
      </c>
      <c r="D24" s="103">
        <f>B24/0.15*2*(0.2*2+0.4*2)</f>
        <v>8720.0000000000018</v>
      </c>
      <c r="G24" s="103">
        <f>10*B24</f>
        <v>5450</v>
      </c>
      <c r="J24" s="103">
        <f>(0.4+0.4+0.2)*B24</f>
        <v>545</v>
      </c>
      <c r="K24" s="105"/>
    </row>
    <row r="25" spans="1:16" s="103" customFormat="1" x14ac:dyDescent="0.45">
      <c r="A25" s="103" t="s">
        <v>115</v>
      </c>
      <c r="B25" s="103">
        <f>58.2+232.8</f>
        <v>291</v>
      </c>
      <c r="C25" s="103">
        <f>0.4*0.2*B25</f>
        <v>23.280000000000005</v>
      </c>
      <c r="D25" s="103">
        <f>B25/0.15*2*(0.2*2+0.4*2)</f>
        <v>4656.0000000000009</v>
      </c>
      <c r="G25" s="103">
        <f>10*B25</f>
        <v>2910</v>
      </c>
      <c r="J25" s="103">
        <f>(0.4+0.4+0.2)*B25</f>
        <v>291</v>
      </c>
      <c r="K25" s="105"/>
    </row>
    <row r="26" spans="1:16" s="103" customFormat="1" x14ac:dyDescent="0.45">
      <c r="A26" s="103" t="s">
        <v>116</v>
      </c>
      <c r="B26" s="103">
        <f>24.5+98</f>
        <v>122.5</v>
      </c>
      <c r="C26" s="103">
        <f>0.15*0.3*B26</f>
        <v>5.5125000000000002</v>
      </c>
      <c r="D26" s="103">
        <f>B26/0.15*(2*0.15+2*0.3)</f>
        <v>735</v>
      </c>
      <c r="F26" s="103">
        <f>5*B26</f>
        <v>612.5</v>
      </c>
      <c r="J26" s="103">
        <f>(0.3+0.3+0.15)*B26</f>
        <v>91.875</v>
      </c>
      <c r="K26" s="105"/>
    </row>
    <row r="27" spans="1:16" s="103" customFormat="1" x14ac:dyDescent="0.45">
      <c r="A27" s="103" t="s">
        <v>117</v>
      </c>
      <c r="B27" s="103">
        <f>83.2+334</f>
        <v>417.2</v>
      </c>
      <c r="C27" s="103">
        <f>0.2*0.35*B27</f>
        <v>29.203999999999997</v>
      </c>
      <c r="D27" s="103">
        <f>B27/0.15*(2*0.2+2*0.35)</f>
        <v>3059.4666666666672</v>
      </c>
      <c r="F27" s="103">
        <f>7*B27</f>
        <v>2920.4</v>
      </c>
      <c r="J27" s="103">
        <f>(0.35+0.35+0.2)*B27</f>
        <v>375.47999999999996</v>
      </c>
      <c r="K27" s="105"/>
    </row>
    <row r="28" spans="1:16" s="103" customFormat="1" x14ac:dyDescent="0.45">
      <c r="A28" s="103" t="s">
        <v>118</v>
      </c>
      <c r="B28" s="103">
        <f>89.6+358.4</f>
        <v>448</v>
      </c>
      <c r="C28" s="103">
        <f>0.35*0.2*B28</f>
        <v>31.359999999999996</v>
      </c>
      <c r="D28" s="103">
        <f>B28/0.15*1.1</f>
        <v>3285.3333333333339</v>
      </c>
      <c r="G28" s="103">
        <f>4*B28</f>
        <v>1792</v>
      </c>
      <c r="J28" s="103">
        <f>0.9*B28</f>
        <v>403.2</v>
      </c>
      <c r="K28" s="105"/>
    </row>
    <row r="29" spans="1:16" s="103" customFormat="1" x14ac:dyDescent="0.45">
      <c r="A29" s="103" t="s">
        <v>128</v>
      </c>
      <c r="B29" s="103">
        <f>83.2+89.5</f>
        <v>172.7</v>
      </c>
      <c r="C29" s="103">
        <f>0.4*0.15*B29</f>
        <v>10.361999999999998</v>
      </c>
      <c r="D29" s="103">
        <f>B29/0.15*1.1</f>
        <v>1266.4666666666667</v>
      </c>
      <c r="F29" s="103">
        <f>4*B29</f>
        <v>690.8</v>
      </c>
      <c r="J29" s="103">
        <f>0.95*B29</f>
        <v>164.06499999999997</v>
      </c>
      <c r="K29" s="105"/>
    </row>
    <row r="30" spans="1:16" s="103" customFormat="1" x14ac:dyDescent="0.45">
      <c r="A30" s="103" t="s">
        <v>129</v>
      </c>
      <c r="B30" s="103">
        <f>12.8+51.1</f>
        <v>63.900000000000006</v>
      </c>
      <c r="C30" s="103">
        <f>0.35*0.2*B30</f>
        <v>4.4729999999999999</v>
      </c>
      <c r="D30" s="103">
        <f>B30/0.15*1.1</f>
        <v>468.60000000000008</v>
      </c>
      <c r="G30" s="103">
        <f>6*B30</f>
        <v>383.40000000000003</v>
      </c>
      <c r="J30" s="103">
        <f>0.9*B30</f>
        <v>57.510000000000005</v>
      </c>
      <c r="K30" s="105"/>
    </row>
    <row r="31" spans="1:16" s="103" customFormat="1" x14ac:dyDescent="0.45">
      <c r="A31" s="103" t="s">
        <v>130</v>
      </c>
      <c r="B31" s="103">
        <v>10.4</v>
      </c>
      <c r="C31" s="103">
        <f>0.4*0.2*B31</f>
        <v>0.83200000000000018</v>
      </c>
      <c r="D31" s="103">
        <f>B31/0.15*1.2</f>
        <v>83.2</v>
      </c>
      <c r="G31" s="103">
        <f>6*B31</f>
        <v>62.400000000000006</v>
      </c>
      <c r="J31" s="103">
        <f>1*B31</f>
        <v>10.4</v>
      </c>
      <c r="K31" s="105"/>
    </row>
    <row r="32" spans="1:16" s="103" customFormat="1" x14ac:dyDescent="0.45">
      <c r="A32" s="103" t="s">
        <v>119</v>
      </c>
      <c r="B32" s="103">
        <f>210.3</f>
        <v>210.3</v>
      </c>
      <c r="C32" s="103">
        <f>0.35*0.15*B32</f>
        <v>11.040750000000001</v>
      </c>
      <c r="D32" s="103">
        <f>B32/0.2*1</f>
        <v>1051.5</v>
      </c>
      <c r="F32" s="103">
        <f>4*B32</f>
        <v>841.2</v>
      </c>
      <c r="J32" s="103">
        <f>0.85*B32</f>
        <v>178.755</v>
      </c>
      <c r="K32" s="105"/>
    </row>
    <row r="33" spans="1:11" s="103" customFormat="1" x14ac:dyDescent="0.45">
      <c r="A33" s="103" t="s">
        <v>132</v>
      </c>
      <c r="B33" s="103">
        <f>51.2*2</f>
        <v>102.4</v>
      </c>
      <c r="C33" s="103">
        <f>(0.35*0.2+0.1*0.3+0.08*0.55)*B33</f>
        <v>14.7456</v>
      </c>
      <c r="D33" s="106">
        <f>B33/0.15*1.1</f>
        <v>750.93333333333351</v>
      </c>
      <c r="E33" s="106">
        <f>B33/0.2*1.2+6*B33</f>
        <v>1228.8000000000002</v>
      </c>
      <c r="F33" s="103">
        <f>5*B33</f>
        <v>512</v>
      </c>
      <c r="J33" s="103">
        <f>2.5*B33</f>
        <v>256</v>
      </c>
      <c r="K33" s="105"/>
    </row>
    <row r="34" spans="1:11" s="103" customFormat="1" x14ac:dyDescent="0.45">
      <c r="A34" s="103" t="s">
        <v>120</v>
      </c>
      <c r="B34" s="103">
        <f>59.2</f>
        <v>59.2</v>
      </c>
      <c r="C34" s="103">
        <f>0.15*0.35*B34</f>
        <v>3.1080000000000001</v>
      </c>
      <c r="D34" s="106">
        <f>B34/0.2*1</f>
        <v>296</v>
      </c>
      <c r="E34" s="106"/>
      <c r="F34" s="103">
        <f>B34*7</f>
        <v>414.40000000000003</v>
      </c>
      <c r="J34" s="103">
        <f>0.85*B34</f>
        <v>50.32</v>
      </c>
      <c r="K34" s="105"/>
    </row>
    <row r="35" spans="1:11" s="103" customFormat="1" x14ac:dyDescent="0.45">
      <c r="A35" s="103" t="s">
        <v>137</v>
      </c>
      <c r="B35" s="103">
        <f>14.4</f>
        <v>14.4</v>
      </c>
      <c r="C35" s="103">
        <f>0.2*0.5*B35</f>
        <v>1.4400000000000002</v>
      </c>
      <c r="D35" s="106"/>
      <c r="E35" s="106">
        <f>B35/0.1*1.4</f>
        <v>201.6</v>
      </c>
      <c r="H35" s="103">
        <f>10*B35</f>
        <v>144</v>
      </c>
      <c r="J35" s="103">
        <f>1.2*B35</f>
        <v>17.28</v>
      </c>
      <c r="K35" s="105"/>
    </row>
    <row r="36" spans="1:11" s="103" customFormat="1" x14ac:dyDescent="0.45">
      <c r="A36" s="103" t="s">
        <v>138</v>
      </c>
      <c r="B36" s="103">
        <v>9.6</v>
      </c>
      <c r="C36" s="103">
        <f>0.2*0.5*B36</f>
        <v>0.96</v>
      </c>
      <c r="D36" s="106"/>
      <c r="E36" s="106">
        <f>B36/0.1*1.4</f>
        <v>134.39999999999998</v>
      </c>
      <c r="G36" s="103">
        <f>10*B36</f>
        <v>96</v>
      </c>
      <c r="J36" s="103">
        <f>1.2*B36</f>
        <v>11.52</v>
      </c>
      <c r="K36" s="105"/>
    </row>
    <row r="37" spans="1:11" s="103" customFormat="1" x14ac:dyDescent="0.45">
      <c r="A37" s="103" t="s">
        <v>139</v>
      </c>
      <c r="B37" s="103">
        <v>3.2</v>
      </c>
      <c r="C37" s="103">
        <f>0.35*0.15*B37</f>
        <v>0.16800000000000001</v>
      </c>
      <c r="D37" s="106">
        <f>B37/0.2*1</f>
        <v>16</v>
      </c>
      <c r="E37" s="106"/>
      <c r="F37" s="103">
        <f>4*B37</f>
        <v>12.8</v>
      </c>
      <c r="J37" s="103">
        <f>0.85*B37</f>
        <v>2.72</v>
      </c>
      <c r="K37" s="105"/>
    </row>
    <row r="38" spans="1:11" s="103" customFormat="1" x14ac:dyDescent="0.45">
      <c r="A38" s="103" t="s">
        <v>133</v>
      </c>
      <c r="B38" s="103">
        <v>3.7</v>
      </c>
      <c r="C38" s="103">
        <f>0.2*0.35*B38</f>
        <v>0.25900000000000001</v>
      </c>
      <c r="D38" s="106">
        <f>B38/0.2*2*1.1</f>
        <v>40.700000000000003</v>
      </c>
      <c r="F38" s="103">
        <f>B38*10</f>
        <v>37</v>
      </c>
      <c r="J38" s="103">
        <f>0.9*B38</f>
        <v>3.33</v>
      </c>
      <c r="K38" s="105"/>
    </row>
    <row r="39" spans="1:11" s="103" customFormat="1" x14ac:dyDescent="0.45">
      <c r="A39" s="103" t="s">
        <v>140</v>
      </c>
      <c r="B39" s="103">
        <f>3.2*4*2</f>
        <v>25.6</v>
      </c>
      <c r="C39" s="103">
        <f>B39*2*(1.3*0.15+0.7*0.15+0.25*0.25*4)</f>
        <v>28.160000000000004</v>
      </c>
      <c r="E39" s="103">
        <f>3.5/0.2*3+3.5*30</f>
        <v>157.5</v>
      </c>
      <c r="F39" s="103">
        <f>3.5/0.15*2</f>
        <v>46.666666666666671</v>
      </c>
      <c r="G39" s="103">
        <f>3.5/0.2*3</f>
        <v>52.5</v>
      </c>
      <c r="J39" s="103">
        <v>5</v>
      </c>
      <c r="K39" s="105"/>
    </row>
    <row r="41" spans="1:11" s="83" customFormat="1" x14ac:dyDescent="0.45">
      <c r="A41" s="83" t="s">
        <v>122</v>
      </c>
      <c r="C41" s="84">
        <f t="shared" ref="C41:J41" si="2">SUM(C3:C40)</f>
        <v>475.15285000000017</v>
      </c>
      <c r="D41" s="84">
        <f t="shared" si="2"/>
        <v>49949</v>
      </c>
      <c r="E41" s="84">
        <f t="shared" si="2"/>
        <v>30549.488485360358</v>
      </c>
      <c r="F41" s="84">
        <f t="shared" si="2"/>
        <v>10273.318666666664</v>
      </c>
      <c r="G41" s="84">
        <f t="shared" si="2"/>
        <v>15471.06</v>
      </c>
      <c r="H41" s="84">
        <f t="shared" si="2"/>
        <v>696.96</v>
      </c>
      <c r="I41" s="84">
        <f t="shared" si="2"/>
        <v>0</v>
      </c>
      <c r="J41" s="84">
        <f t="shared" si="2"/>
        <v>6181.5009999999993</v>
      </c>
      <c r="K41" s="93"/>
    </row>
    <row r="42" spans="1:11" x14ac:dyDescent="0.45">
      <c r="A42" s="80" t="s">
        <v>123</v>
      </c>
      <c r="C42" s="81">
        <f>C41*1.07</f>
        <v>508.41354950000022</v>
      </c>
      <c r="D42" s="81">
        <f>D41*1.05</f>
        <v>52446.450000000004</v>
      </c>
      <c r="E42" s="81">
        <f>E41*1.07</f>
        <v>32687.952679335584</v>
      </c>
      <c r="F42" s="81">
        <f>F41*1.09</f>
        <v>11197.917346666665</v>
      </c>
      <c r="G42" s="81">
        <f>G41*1.11</f>
        <v>17172.8766</v>
      </c>
      <c r="H42" s="81">
        <f>H41*1.13</f>
        <v>787.56479999999999</v>
      </c>
      <c r="I42" s="81">
        <f>I41*1.15</f>
        <v>0</v>
      </c>
      <c r="J42" s="81">
        <f>J41*0.7</f>
        <v>4327.0506999999989</v>
      </c>
    </row>
    <row r="43" spans="1:11" s="85" customFormat="1" x14ac:dyDescent="0.45">
      <c r="A43" s="85" t="s">
        <v>124</v>
      </c>
      <c r="D43" s="86">
        <f>D42/10*2.22</f>
        <v>11643.111900000002</v>
      </c>
      <c r="E43" s="86">
        <f>E42/10*4.99</f>
        <v>16311.288386988457</v>
      </c>
      <c r="F43" s="86">
        <f>F42/10*8.88</f>
        <v>9943.7506038400006</v>
      </c>
      <c r="G43" s="86">
        <f>G42/10*15.8</f>
        <v>27133.145027999999</v>
      </c>
      <c r="H43" s="86">
        <f>H42/10*24.7</f>
        <v>1945.2850559999999</v>
      </c>
      <c r="I43" s="86">
        <f>I42/10*38.5</f>
        <v>0</v>
      </c>
      <c r="K43" s="9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4686-7192-4A22-B149-C8468E95C92A}">
  <dimension ref="A1:Q112"/>
  <sheetViews>
    <sheetView view="pageBreakPreview" zoomScaleNormal="100" zoomScaleSheetLayoutView="100" workbookViewId="0">
      <selection activeCell="B10" sqref="B10:I10"/>
    </sheetView>
  </sheetViews>
  <sheetFormatPr defaultColWidth="9.140625" defaultRowHeight="27" customHeight="1" x14ac:dyDescent="0.2"/>
  <cols>
    <col min="1" max="2" width="7.7109375" style="454" customWidth="1"/>
    <col min="3" max="3" width="60.7109375" style="454" customWidth="1"/>
    <col min="4" max="4" width="12.7109375" style="454" customWidth="1"/>
    <col min="5" max="5" width="7.7109375" style="448" customWidth="1"/>
    <col min="6" max="9" width="12.7109375" style="454" customWidth="1"/>
    <col min="10" max="10" width="16.7109375" style="454" customWidth="1"/>
    <col min="11" max="11" width="12.7109375" style="454" customWidth="1"/>
    <col min="12" max="12" width="12.5703125" style="454" customWidth="1"/>
    <col min="13" max="13" width="13.7109375" style="454" customWidth="1"/>
    <col min="14" max="14" width="9.42578125" style="454" bestFit="1" customWidth="1"/>
    <col min="15" max="15" width="10.5703125" style="454" customWidth="1"/>
    <col min="16" max="16" width="10" style="454" customWidth="1"/>
    <col min="17" max="17" width="11.28515625" style="454" customWidth="1"/>
    <col min="18" max="16384" width="9.140625" style="454"/>
  </cols>
  <sheetData>
    <row r="1" spans="1:14" s="10" customFormat="1" ht="27" customHeight="1" x14ac:dyDescent="0.5">
      <c r="A1" s="6" t="s">
        <v>162</v>
      </c>
      <c r="B1" s="6"/>
      <c r="C1" s="6"/>
      <c r="D1" s="6"/>
      <c r="E1" s="6"/>
      <c r="F1" s="6"/>
      <c r="G1" s="6"/>
      <c r="H1" s="454"/>
      <c r="I1" s="454"/>
      <c r="J1" s="448" t="s">
        <v>581</v>
      </c>
      <c r="K1" s="88">
        <v>1</v>
      </c>
      <c r="L1" s="88"/>
    </row>
    <row r="2" spans="1:14" s="6" customFormat="1" ht="27" customHeight="1" x14ac:dyDescent="0.2">
      <c r="A2" s="541" t="s">
        <v>555</v>
      </c>
      <c r="B2" s="541"/>
      <c r="C2" s="541"/>
      <c r="D2" s="541"/>
      <c r="E2" s="541"/>
      <c r="F2" s="541"/>
      <c r="G2" s="541" t="s">
        <v>580</v>
      </c>
      <c r="H2" s="541"/>
      <c r="I2" s="541"/>
      <c r="J2" s="541"/>
      <c r="K2" s="541"/>
      <c r="L2" s="541"/>
    </row>
    <row r="3" spans="1:14" s="6" customFormat="1" ht="27" customHeight="1" x14ac:dyDescent="0.2">
      <c r="A3" s="541" t="s">
        <v>578</v>
      </c>
      <c r="B3" s="541"/>
      <c r="C3" s="541"/>
      <c r="D3" s="541"/>
      <c r="E3" s="541"/>
      <c r="F3" s="541"/>
      <c r="G3" s="541" t="s">
        <v>579</v>
      </c>
      <c r="H3" s="541"/>
      <c r="I3" s="541"/>
      <c r="J3" s="541"/>
      <c r="K3" s="541"/>
      <c r="L3" s="541"/>
    </row>
    <row r="4" spans="1:14" s="10" customFormat="1" ht="27" customHeight="1" thickBot="1" x14ac:dyDescent="0.55000000000000004">
      <c r="A4" s="684" t="s">
        <v>551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</row>
    <row r="5" spans="1:14" s="6" customFormat="1" ht="27" customHeight="1" x14ac:dyDescent="0.2">
      <c r="A5" s="605" t="s">
        <v>3</v>
      </c>
      <c r="B5" s="610" t="s">
        <v>4</v>
      </c>
      <c r="C5" s="699"/>
      <c r="D5" s="699"/>
      <c r="E5" s="699"/>
      <c r="F5" s="699"/>
      <c r="G5" s="699"/>
      <c r="H5" s="699"/>
      <c r="I5" s="700"/>
      <c r="J5" s="449" t="s">
        <v>22</v>
      </c>
      <c r="K5" s="607" t="s">
        <v>8</v>
      </c>
    </row>
    <row r="6" spans="1:14" s="6" customFormat="1" ht="27" customHeight="1" thickBot="1" x14ac:dyDescent="0.25">
      <c r="A6" s="606"/>
      <c r="B6" s="701"/>
      <c r="C6" s="702"/>
      <c r="D6" s="702"/>
      <c r="E6" s="702"/>
      <c r="F6" s="702"/>
      <c r="G6" s="702"/>
      <c r="H6" s="702"/>
      <c r="I6" s="703"/>
      <c r="J6" s="450" t="s">
        <v>25</v>
      </c>
      <c r="K6" s="608"/>
    </row>
    <row r="7" spans="1:14" s="6" customFormat="1" ht="27" customHeight="1" thickBot="1" x14ac:dyDescent="0.25">
      <c r="A7" s="156"/>
      <c r="B7" s="594" t="s">
        <v>163</v>
      </c>
      <c r="C7" s="595"/>
      <c r="D7" s="595"/>
      <c r="E7" s="595"/>
      <c r="F7" s="595"/>
      <c r="G7" s="595"/>
      <c r="H7" s="595"/>
      <c r="I7" s="597"/>
      <c r="J7" s="157"/>
      <c r="K7" s="158"/>
      <c r="N7" s="6" t="s">
        <v>21</v>
      </c>
    </row>
    <row r="8" spans="1:14" s="6" customFormat="1" ht="27" customHeight="1" x14ac:dyDescent="0.2">
      <c r="A8" s="117">
        <v>1</v>
      </c>
      <c r="B8" s="693" t="s">
        <v>164</v>
      </c>
      <c r="C8" s="694"/>
      <c r="D8" s="694"/>
      <c r="E8" s="694"/>
      <c r="F8" s="694"/>
      <c r="G8" s="694"/>
      <c r="H8" s="694"/>
      <c r="I8" s="695"/>
      <c r="J8" s="159">
        <f>J40</f>
        <v>685.01891666666654</v>
      </c>
      <c r="K8" s="160"/>
      <c r="L8" s="161"/>
      <c r="M8" s="162"/>
      <c r="N8" s="163">
        <v>12</v>
      </c>
    </row>
    <row r="9" spans="1:14" s="6" customFormat="1" ht="27" customHeight="1" thickBot="1" x14ac:dyDescent="0.25">
      <c r="A9" s="514"/>
      <c r="B9" s="696" t="s">
        <v>165</v>
      </c>
      <c r="C9" s="697"/>
      <c r="D9" s="697"/>
      <c r="E9" s="697"/>
      <c r="F9" s="697"/>
      <c r="G9" s="697"/>
      <c r="H9" s="697"/>
      <c r="I9" s="698"/>
      <c r="J9" s="515">
        <v>610</v>
      </c>
      <c r="K9" s="516"/>
      <c r="L9" s="161"/>
      <c r="M9" s="162"/>
      <c r="N9" s="163"/>
    </row>
    <row r="10" spans="1:14" s="6" customFormat="1" ht="27" customHeight="1" x14ac:dyDescent="0.2">
      <c r="A10" s="117">
        <v>2</v>
      </c>
      <c r="B10" s="693" t="s">
        <v>166</v>
      </c>
      <c r="C10" s="694"/>
      <c r="D10" s="694"/>
      <c r="E10" s="694"/>
      <c r="F10" s="694"/>
      <c r="G10" s="694"/>
      <c r="H10" s="694"/>
      <c r="I10" s="695"/>
      <c r="J10" s="159">
        <f>J64</f>
        <v>698.75282676999984</v>
      </c>
      <c r="K10" s="160"/>
      <c r="L10" s="161"/>
      <c r="M10" s="162"/>
      <c r="N10" s="163">
        <v>12</v>
      </c>
    </row>
    <row r="11" spans="1:14" s="6" customFormat="1" ht="27" customHeight="1" thickBot="1" x14ac:dyDescent="0.25">
      <c r="A11" s="514"/>
      <c r="B11" s="696" t="s">
        <v>165</v>
      </c>
      <c r="C11" s="697"/>
      <c r="D11" s="697"/>
      <c r="E11" s="697"/>
      <c r="F11" s="697"/>
      <c r="G11" s="697"/>
      <c r="H11" s="697"/>
      <c r="I11" s="698"/>
      <c r="J11" s="515">
        <v>650</v>
      </c>
      <c r="K11" s="516"/>
      <c r="L11" s="161"/>
      <c r="M11" s="162"/>
      <c r="N11" s="163"/>
    </row>
    <row r="12" spans="1:14" s="6" customFormat="1" ht="27" customHeight="1" x14ac:dyDescent="0.2">
      <c r="A12" s="117">
        <v>3</v>
      </c>
      <c r="B12" s="693" t="s">
        <v>167</v>
      </c>
      <c r="C12" s="694"/>
      <c r="D12" s="694"/>
      <c r="E12" s="694"/>
      <c r="F12" s="694"/>
      <c r="G12" s="694"/>
      <c r="H12" s="694"/>
      <c r="I12" s="695"/>
      <c r="J12" s="159">
        <f>J88</f>
        <v>5857.5003930000003</v>
      </c>
      <c r="K12" s="160"/>
      <c r="L12" s="161"/>
      <c r="M12" s="162"/>
      <c r="N12" s="163">
        <v>12</v>
      </c>
    </row>
    <row r="13" spans="1:14" s="6" customFormat="1" ht="27" customHeight="1" thickBot="1" x14ac:dyDescent="0.25">
      <c r="A13" s="514"/>
      <c r="B13" s="696" t="s">
        <v>165</v>
      </c>
      <c r="C13" s="697"/>
      <c r="D13" s="697"/>
      <c r="E13" s="697"/>
      <c r="F13" s="697"/>
      <c r="G13" s="697"/>
      <c r="H13" s="697"/>
      <c r="I13" s="698"/>
      <c r="J13" s="515">
        <v>5690</v>
      </c>
      <c r="K13" s="516"/>
      <c r="L13" s="161"/>
      <c r="M13" s="162"/>
      <c r="N13" s="163"/>
    </row>
    <row r="14" spans="1:14" s="6" customFormat="1" ht="27" customHeight="1" x14ac:dyDescent="0.2">
      <c r="A14" s="117">
        <v>4</v>
      </c>
      <c r="B14" s="693" t="s">
        <v>168</v>
      </c>
      <c r="C14" s="694"/>
      <c r="D14" s="694"/>
      <c r="E14" s="694"/>
      <c r="F14" s="694"/>
      <c r="G14" s="694"/>
      <c r="H14" s="694"/>
      <c r="I14" s="695"/>
      <c r="J14" s="159">
        <f>J112</f>
        <v>592.41999999999996</v>
      </c>
      <c r="K14" s="160"/>
      <c r="L14" s="161"/>
      <c r="M14" s="162"/>
      <c r="N14" s="163">
        <v>12</v>
      </c>
    </row>
    <row r="15" spans="1:14" s="6" customFormat="1" ht="27" customHeight="1" thickBot="1" x14ac:dyDescent="0.25">
      <c r="A15" s="514"/>
      <c r="B15" s="696" t="s">
        <v>165</v>
      </c>
      <c r="C15" s="697"/>
      <c r="D15" s="697"/>
      <c r="E15" s="697"/>
      <c r="F15" s="697"/>
      <c r="G15" s="697"/>
      <c r="H15" s="697"/>
      <c r="I15" s="698"/>
      <c r="J15" s="515">
        <v>570</v>
      </c>
      <c r="K15" s="516"/>
      <c r="L15" s="161"/>
      <c r="M15" s="162"/>
      <c r="N15" s="163"/>
    </row>
    <row r="16" spans="1:14" s="10" customFormat="1" ht="27" customHeight="1" x14ac:dyDescent="0.5">
      <c r="A16" s="6" t="s">
        <v>162</v>
      </c>
      <c r="B16" s="6"/>
      <c r="C16" s="6"/>
      <c r="D16" s="6"/>
      <c r="E16" s="6"/>
      <c r="F16" s="6"/>
      <c r="G16" s="6"/>
      <c r="H16" s="454"/>
      <c r="I16" s="686" t="s">
        <v>582</v>
      </c>
      <c r="J16" s="686"/>
      <c r="K16" s="686"/>
      <c r="L16" s="88"/>
    </row>
    <row r="17" spans="1:14" s="6" customFormat="1" ht="27" customHeight="1" x14ac:dyDescent="0.2">
      <c r="A17" s="541" t="s">
        <v>555</v>
      </c>
      <c r="B17" s="541"/>
      <c r="C17" s="541"/>
      <c r="D17" s="541"/>
      <c r="E17" s="541"/>
      <c r="F17" s="541"/>
      <c r="G17" s="541" t="s">
        <v>580</v>
      </c>
      <c r="H17" s="541"/>
      <c r="I17" s="541"/>
      <c r="J17" s="541"/>
      <c r="K17" s="541"/>
      <c r="L17" s="541"/>
    </row>
    <row r="18" spans="1:14" s="6" customFormat="1" ht="27" customHeight="1" x14ac:dyDescent="0.2">
      <c r="A18" s="541" t="s">
        <v>578</v>
      </c>
      <c r="B18" s="541"/>
      <c r="C18" s="541"/>
      <c r="D18" s="541"/>
      <c r="E18" s="541"/>
      <c r="F18" s="541"/>
      <c r="G18" s="541" t="s">
        <v>579</v>
      </c>
      <c r="H18" s="541"/>
      <c r="I18" s="541"/>
      <c r="J18" s="541"/>
      <c r="K18" s="541"/>
      <c r="L18" s="541"/>
    </row>
    <row r="19" spans="1:14" s="10" customFormat="1" ht="27" customHeight="1" thickBot="1" x14ac:dyDescent="0.55000000000000004">
      <c r="A19" s="684" t="s">
        <v>551</v>
      </c>
      <c r="B19" s="685"/>
      <c r="C19" s="685"/>
      <c r="D19" s="685"/>
      <c r="E19" s="685"/>
      <c r="F19" s="685"/>
      <c r="G19" s="685"/>
      <c r="H19" s="685"/>
      <c r="I19" s="685"/>
      <c r="J19" s="685"/>
      <c r="K19" s="685"/>
    </row>
    <row r="20" spans="1:14" s="6" customFormat="1" ht="27" customHeight="1" thickBot="1" x14ac:dyDescent="0.25">
      <c r="A20" s="605" t="s">
        <v>3</v>
      </c>
      <c r="B20" s="610" t="s">
        <v>4</v>
      </c>
      <c r="C20" s="607"/>
      <c r="D20" s="605" t="s">
        <v>18</v>
      </c>
      <c r="E20" s="605" t="s">
        <v>19</v>
      </c>
      <c r="F20" s="594" t="s">
        <v>20</v>
      </c>
      <c r="G20" s="597"/>
      <c r="H20" s="594" t="s">
        <v>21</v>
      </c>
      <c r="I20" s="597"/>
      <c r="J20" s="449" t="s">
        <v>22</v>
      </c>
      <c r="K20" s="607" t="s">
        <v>8</v>
      </c>
    </row>
    <row r="21" spans="1:14" s="6" customFormat="1" ht="27" customHeight="1" thickBot="1" x14ac:dyDescent="0.25">
      <c r="A21" s="606"/>
      <c r="B21" s="611"/>
      <c r="C21" s="608"/>
      <c r="D21" s="606"/>
      <c r="E21" s="606"/>
      <c r="F21" s="116" t="s">
        <v>23</v>
      </c>
      <c r="G21" s="451" t="s">
        <v>24</v>
      </c>
      <c r="H21" s="116" t="s">
        <v>23</v>
      </c>
      <c r="I21" s="116" t="s">
        <v>24</v>
      </c>
      <c r="J21" s="450" t="s">
        <v>25</v>
      </c>
      <c r="K21" s="608"/>
    </row>
    <row r="22" spans="1:14" s="6" customFormat="1" ht="27" customHeight="1" x14ac:dyDescent="0.2">
      <c r="A22" s="156">
        <v>1</v>
      </c>
      <c r="B22" s="6" t="s">
        <v>169</v>
      </c>
      <c r="D22" s="164"/>
      <c r="E22" s="107"/>
      <c r="F22" s="165"/>
      <c r="G22" s="158"/>
      <c r="H22" s="165"/>
      <c r="I22" s="165"/>
      <c r="J22" s="157"/>
      <c r="K22" s="158"/>
      <c r="N22" s="6" t="s">
        <v>21</v>
      </c>
    </row>
    <row r="23" spans="1:14" ht="27" customHeight="1" x14ac:dyDescent="0.2">
      <c r="A23" s="166"/>
      <c r="B23" s="453">
        <v>1.1000000000000001</v>
      </c>
      <c r="C23" s="123" t="s">
        <v>170</v>
      </c>
      <c r="D23" s="167">
        <v>18</v>
      </c>
      <c r="E23" s="453" t="s">
        <v>40</v>
      </c>
      <c r="F23" s="167">
        <v>0</v>
      </c>
      <c r="G23" s="168">
        <f>D23*F23</f>
        <v>0</v>
      </c>
      <c r="H23" s="167">
        <v>25</v>
      </c>
      <c r="I23" s="167">
        <f t="shared" ref="I23:I37" si="0">D23*H23</f>
        <v>450</v>
      </c>
      <c r="J23" s="167">
        <f t="shared" ref="J23:J37" si="1">G23+I23</f>
        <v>450</v>
      </c>
      <c r="K23" s="169"/>
      <c r="L23" s="170"/>
      <c r="M23" s="171"/>
      <c r="N23" s="121">
        <v>16</v>
      </c>
    </row>
    <row r="24" spans="1:14" ht="27" customHeight="1" x14ac:dyDescent="0.2">
      <c r="A24" s="166"/>
      <c r="B24" s="453">
        <v>1.2</v>
      </c>
      <c r="C24" s="123" t="s">
        <v>171</v>
      </c>
      <c r="D24" s="167">
        <v>3.5</v>
      </c>
      <c r="E24" s="453" t="s">
        <v>72</v>
      </c>
      <c r="F24" s="167">
        <f>วัสดุ!B26</f>
        <v>450</v>
      </c>
      <c r="G24" s="168">
        <f t="shared" ref="G24:G37" si="2">D24*F24</f>
        <v>1575</v>
      </c>
      <c r="H24" s="167">
        <v>25</v>
      </c>
      <c r="I24" s="167">
        <f t="shared" si="0"/>
        <v>87.5</v>
      </c>
      <c r="J24" s="167">
        <f t="shared" si="1"/>
        <v>1662.5</v>
      </c>
      <c r="K24" s="169"/>
      <c r="L24" s="172"/>
      <c r="M24" s="121"/>
      <c r="N24" s="121">
        <v>79</v>
      </c>
    </row>
    <row r="25" spans="1:14" ht="27" customHeight="1" x14ac:dyDescent="0.2">
      <c r="A25" s="166"/>
      <c r="B25" s="453">
        <v>1.3</v>
      </c>
      <c r="C25" s="123" t="s">
        <v>172</v>
      </c>
      <c r="D25" s="167">
        <v>0.25</v>
      </c>
      <c r="E25" s="453" t="s">
        <v>72</v>
      </c>
      <c r="F25" s="167">
        <f>วัสดุ!B23</f>
        <v>717.76</v>
      </c>
      <c r="G25" s="168">
        <f t="shared" si="2"/>
        <v>179.44</v>
      </c>
      <c r="H25" s="167">
        <v>25</v>
      </c>
      <c r="I25" s="167">
        <f t="shared" si="0"/>
        <v>6.25</v>
      </c>
      <c r="J25" s="167">
        <f t="shared" si="1"/>
        <v>185.69</v>
      </c>
      <c r="K25" s="169"/>
      <c r="L25" s="172"/>
      <c r="M25" s="121"/>
      <c r="N25" s="121">
        <v>75</v>
      </c>
    </row>
    <row r="26" spans="1:14" ht="27" customHeight="1" x14ac:dyDescent="0.2">
      <c r="A26" s="166"/>
      <c r="B26" s="453">
        <v>1.4</v>
      </c>
      <c r="C26" s="123" t="s">
        <v>173</v>
      </c>
      <c r="D26" s="167">
        <f>18*0.15</f>
        <v>2.6999999999999997</v>
      </c>
      <c r="E26" s="453" t="s">
        <v>72</v>
      </c>
      <c r="F26" s="167">
        <f>วัสดุ!B1</f>
        <v>2187.38</v>
      </c>
      <c r="G26" s="168">
        <f t="shared" si="2"/>
        <v>5905.9259999999995</v>
      </c>
      <c r="H26" s="173">
        <v>306</v>
      </c>
      <c r="I26" s="167">
        <f t="shared" si="0"/>
        <v>826.19999999999993</v>
      </c>
      <c r="J26" s="167">
        <f t="shared" si="1"/>
        <v>6732.1259999999993</v>
      </c>
      <c r="K26" s="169"/>
      <c r="L26" s="172"/>
      <c r="M26" s="171"/>
      <c r="N26" s="121">
        <v>197</v>
      </c>
    </row>
    <row r="27" spans="1:14" ht="27" customHeight="1" x14ac:dyDescent="0.2">
      <c r="A27" s="166"/>
      <c r="B27" s="453">
        <v>1.5</v>
      </c>
      <c r="C27" s="123" t="s">
        <v>174</v>
      </c>
      <c r="D27" s="167"/>
      <c r="E27" s="453"/>
      <c r="F27" s="167"/>
      <c r="G27" s="168"/>
      <c r="H27" s="173"/>
      <c r="I27" s="167"/>
      <c r="J27" s="167"/>
      <c r="K27" s="169"/>
      <c r="L27" s="172"/>
      <c r="M27" s="171"/>
      <c r="N27" s="121"/>
    </row>
    <row r="28" spans="1:14" ht="27" customHeight="1" x14ac:dyDescent="0.2">
      <c r="A28" s="166"/>
      <c r="B28" s="453" t="s">
        <v>159</v>
      </c>
      <c r="C28" s="123" t="s">
        <v>175</v>
      </c>
      <c r="D28" s="167">
        <v>55.4</v>
      </c>
      <c r="E28" s="453" t="s">
        <v>73</v>
      </c>
      <c r="F28" s="167">
        <f>วัสดุ!B4</f>
        <v>21.22</v>
      </c>
      <c r="G28" s="168">
        <f t="shared" si="2"/>
        <v>1175.588</v>
      </c>
      <c r="H28" s="167">
        <v>4.0999999999999996</v>
      </c>
      <c r="I28" s="167">
        <f t="shared" si="0"/>
        <v>227.14</v>
      </c>
      <c r="J28" s="167">
        <f t="shared" si="1"/>
        <v>1402.7280000000001</v>
      </c>
      <c r="K28" s="169"/>
      <c r="L28" s="172"/>
      <c r="M28" s="121"/>
      <c r="N28" s="121">
        <v>2.74</v>
      </c>
    </row>
    <row r="29" spans="1:14" ht="27" customHeight="1" x14ac:dyDescent="0.2">
      <c r="A29" s="166"/>
      <c r="B29" s="453" t="s">
        <v>159</v>
      </c>
      <c r="C29" s="123" t="s">
        <v>176</v>
      </c>
      <c r="D29" s="167">
        <v>22.2</v>
      </c>
      <c r="E29" s="453" t="s">
        <v>73</v>
      </c>
      <c r="F29" s="167">
        <f>วัสดุ!B5</f>
        <v>21.43</v>
      </c>
      <c r="G29" s="168">
        <f t="shared" si="2"/>
        <v>475.74599999999998</v>
      </c>
      <c r="H29" s="167">
        <v>3.3</v>
      </c>
      <c r="I29" s="167">
        <f t="shared" si="0"/>
        <v>73.259999999999991</v>
      </c>
      <c r="J29" s="167">
        <f t="shared" si="1"/>
        <v>549.00599999999997</v>
      </c>
      <c r="K29" s="169"/>
      <c r="L29" s="172"/>
      <c r="M29" s="121"/>
      <c r="N29" s="121">
        <v>2.74</v>
      </c>
    </row>
    <row r="30" spans="1:14" ht="27" customHeight="1" x14ac:dyDescent="0.2">
      <c r="A30" s="166"/>
      <c r="B30" s="453" t="s">
        <v>159</v>
      </c>
      <c r="C30" s="123" t="s">
        <v>177</v>
      </c>
      <c r="D30" s="167">
        <v>9.4</v>
      </c>
      <c r="E30" s="453" t="s">
        <v>73</v>
      </c>
      <c r="F30" s="167">
        <f>วัสดุ!B7</f>
        <v>23.31</v>
      </c>
      <c r="G30" s="168">
        <f t="shared" si="2"/>
        <v>219.114</v>
      </c>
      <c r="H30" s="167">
        <v>2.9</v>
      </c>
      <c r="I30" s="167">
        <f t="shared" si="0"/>
        <v>27.26</v>
      </c>
      <c r="J30" s="167">
        <f t="shared" si="1"/>
        <v>246.374</v>
      </c>
      <c r="K30" s="169"/>
      <c r="L30" s="172"/>
      <c r="M30" s="121"/>
      <c r="N30" s="121">
        <v>2.74</v>
      </c>
    </row>
    <row r="31" spans="1:14" ht="27" customHeight="1" x14ac:dyDescent="0.2">
      <c r="A31" s="166"/>
      <c r="B31" s="453" t="s">
        <v>159</v>
      </c>
      <c r="C31" s="123" t="s">
        <v>26</v>
      </c>
      <c r="D31" s="167">
        <f>(D28+D29+D30)*0.03</f>
        <v>2.61</v>
      </c>
      <c r="E31" s="453" t="s">
        <v>73</v>
      </c>
      <c r="F31" s="167">
        <f>วัสดุ!B20</f>
        <v>40.89</v>
      </c>
      <c r="G31" s="168">
        <f t="shared" si="2"/>
        <v>106.7229</v>
      </c>
      <c r="H31" s="167">
        <v>0</v>
      </c>
      <c r="I31" s="167">
        <f t="shared" si="0"/>
        <v>0</v>
      </c>
      <c r="J31" s="167">
        <f t="shared" si="1"/>
        <v>106.7229</v>
      </c>
      <c r="K31" s="169"/>
      <c r="L31" s="172"/>
      <c r="M31" s="121"/>
      <c r="N31" s="121">
        <v>0</v>
      </c>
    </row>
    <row r="32" spans="1:14" ht="27" customHeight="1" x14ac:dyDescent="0.2">
      <c r="A32" s="166"/>
      <c r="B32" s="453">
        <v>1.6</v>
      </c>
      <c r="C32" s="123" t="s">
        <v>178</v>
      </c>
      <c r="D32" s="167">
        <f>1.27/2</f>
        <v>0.63500000000000001</v>
      </c>
      <c r="E32" s="453" t="s">
        <v>40</v>
      </c>
      <c r="F32" s="167">
        <v>400</v>
      </c>
      <c r="G32" s="168">
        <f t="shared" si="2"/>
        <v>254</v>
      </c>
      <c r="H32" s="167">
        <v>0</v>
      </c>
      <c r="I32" s="167">
        <f t="shared" si="0"/>
        <v>0</v>
      </c>
      <c r="J32" s="167">
        <f t="shared" si="1"/>
        <v>254</v>
      </c>
      <c r="K32" s="169"/>
      <c r="L32" s="172"/>
      <c r="M32" s="121"/>
      <c r="N32" s="121">
        <v>60</v>
      </c>
    </row>
    <row r="33" spans="1:17" ht="27" customHeight="1" x14ac:dyDescent="0.2">
      <c r="A33" s="166"/>
      <c r="B33" s="453" t="s">
        <v>159</v>
      </c>
      <c r="C33" s="123" t="s">
        <v>179</v>
      </c>
      <c r="D33" s="167">
        <f>0.64*2</f>
        <v>1.28</v>
      </c>
      <c r="E33" s="453" t="s">
        <v>40</v>
      </c>
      <c r="F33" s="167">
        <v>0</v>
      </c>
      <c r="G33" s="168">
        <f>D33*F33</f>
        <v>0</v>
      </c>
      <c r="H33" s="167">
        <v>133</v>
      </c>
      <c r="I33" s="167">
        <f>D33*H33</f>
        <v>170.24</v>
      </c>
      <c r="J33" s="167">
        <f>G33+I33</f>
        <v>170.24</v>
      </c>
      <c r="K33" s="169"/>
      <c r="L33" s="172"/>
      <c r="M33" s="121"/>
      <c r="N33" s="121">
        <v>60</v>
      </c>
    </row>
    <row r="34" spans="1:17" ht="27" customHeight="1" x14ac:dyDescent="0.2">
      <c r="A34" s="166"/>
      <c r="B34" s="453">
        <v>1.7</v>
      </c>
      <c r="C34" s="123" t="s">
        <v>180</v>
      </c>
      <c r="D34" s="174">
        <v>25</v>
      </c>
      <c r="E34" s="453" t="s">
        <v>31</v>
      </c>
      <c r="F34" s="167">
        <v>8</v>
      </c>
      <c r="G34" s="168">
        <f t="shared" si="2"/>
        <v>200</v>
      </c>
      <c r="H34" s="167"/>
      <c r="I34" s="167">
        <f t="shared" si="0"/>
        <v>0</v>
      </c>
      <c r="J34" s="167">
        <f t="shared" si="1"/>
        <v>200</v>
      </c>
      <c r="K34" s="169"/>
      <c r="L34" s="170"/>
      <c r="M34" s="171"/>
      <c r="N34" s="121"/>
    </row>
    <row r="35" spans="1:17" ht="27" customHeight="1" x14ac:dyDescent="0.2">
      <c r="A35" s="166"/>
      <c r="B35" s="453">
        <v>1.8</v>
      </c>
      <c r="C35" s="123" t="s">
        <v>181</v>
      </c>
      <c r="D35" s="167">
        <f>D33*0.25</f>
        <v>0.32</v>
      </c>
      <c r="E35" s="453" t="s">
        <v>73</v>
      </c>
      <c r="F35" s="167">
        <f>วัสดุ!B21</f>
        <v>46.73</v>
      </c>
      <c r="G35" s="168">
        <f t="shared" si="2"/>
        <v>14.9536</v>
      </c>
      <c r="H35" s="167">
        <v>0</v>
      </c>
      <c r="I35" s="167">
        <f t="shared" si="0"/>
        <v>0</v>
      </c>
      <c r="J35" s="167">
        <f t="shared" si="1"/>
        <v>14.9536</v>
      </c>
      <c r="K35" s="169"/>
      <c r="L35" s="172"/>
      <c r="M35" s="171"/>
      <c r="N35" s="121">
        <v>0</v>
      </c>
      <c r="O35" s="454">
        <f>448/17.6</f>
        <v>25.454545454545453</v>
      </c>
      <c r="P35" s="454" t="s">
        <v>182</v>
      </c>
      <c r="Q35" s="454">
        <f>0.02*17.6</f>
        <v>0.35200000000000004</v>
      </c>
    </row>
    <row r="36" spans="1:17" ht="27" customHeight="1" x14ac:dyDescent="0.2">
      <c r="A36" s="166"/>
      <c r="B36" s="453">
        <v>1.9</v>
      </c>
      <c r="C36" s="123" t="s">
        <v>183</v>
      </c>
      <c r="D36" s="167">
        <v>10.75</v>
      </c>
      <c r="E36" s="453" t="s">
        <v>71</v>
      </c>
      <c r="F36" s="167">
        <v>8</v>
      </c>
      <c r="G36" s="168">
        <f t="shared" si="2"/>
        <v>86</v>
      </c>
      <c r="H36" s="167">
        <v>0</v>
      </c>
      <c r="I36" s="167">
        <f t="shared" si="0"/>
        <v>0</v>
      </c>
      <c r="J36" s="167">
        <f t="shared" si="1"/>
        <v>86</v>
      </c>
      <c r="K36" s="169"/>
      <c r="L36" s="172"/>
      <c r="M36" s="171"/>
      <c r="N36" s="121">
        <v>0</v>
      </c>
    </row>
    <row r="37" spans="1:17" ht="27" customHeight="1" x14ac:dyDescent="0.2">
      <c r="A37" s="166"/>
      <c r="B37" s="453">
        <v>1.1000000000000001</v>
      </c>
      <c r="C37" s="123" t="s">
        <v>184</v>
      </c>
      <c r="D37" s="167">
        <v>18</v>
      </c>
      <c r="E37" s="453" t="s">
        <v>40</v>
      </c>
      <c r="F37" s="167">
        <v>0</v>
      </c>
      <c r="G37" s="168">
        <f t="shared" si="2"/>
        <v>0</v>
      </c>
      <c r="H37" s="167">
        <v>15</v>
      </c>
      <c r="I37" s="167">
        <f t="shared" si="0"/>
        <v>270</v>
      </c>
      <c r="J37" s="167">
        <f t="shared" si="1"/>
        <v>270</v>
      </c>
      <c r="K37" s="169"/>
      <c r="L37" s="172"/>
      <c r="M37" s="171"/>
      <c r="N37" s="121">
        <v>12</v>
      </c>
    </row>
    <row r="38" spans="1:17" s="6" customFormat="1" ht="27" customHeight="1" x14ac:dyDescent="0.2">
      <c r="A38" s="175"/>
      <c r="B38" s="687" t="s">
        <v>185</v>
      </c>
      <c r="C38" s="688"/>
      <c r="D38" s="688"/>
      <c r="E38" s="688"/>
      <c r="F38" s="688"/>
      <c r="G38" s="688"/>
      <c r="H38" s="688"/>
      <c r="I38" s="689"/>
      <c r="J38" s="176">
        <f>SUM(J23:J37)</f>
        <v>12330.340499999998</v>
      </c>
      <c r="K38" s="177"/>
      <c r="L38" s="163"/>
      <c r="M38" s="163"/>
    </row>
    <row r="39" spans="1:17" s="6" customFormat="1" ht="27" customHeight="1" thickBot="1" x14ac:dyDescent="0.25">
      <c r="A39" s="175"/>
      <c r="B39" s="690" t="s">
        <v>186</v>
      </c>
      <c r="C39" s="691"/>
      <c r="D39" s="691"/>
      <c r="E39" s="691"/>
      <c r="F39" s="691"/>
      <c r="G39" s="691"/>
      <c r="H39" s="691"/>
      <c r="I39" s="692"/>
      <c r="J39" s="176">
        <f>J38/18</f>
        <v>685.01891666666654</v>
      </c>
      <c r="K39" s="177"/>
      <c r="L39" s="163"/>
      <c r="M39" s="178"/>
    </row>
    <row r="40" spans="1:17" ht="27" customHeight="1" thickBot="1" x14ac:dyDescent="0.25">
      <c r="A40" s="517"/>
      <c r="B40" s="594" t="s">
        <v>187</v>
      </c>
      <c r="C40" s="595"/>
      <c r="D40" s="595"/>
      <c r="E40" s="595"/>
      <c r="F40" s="595"/>
      <c r="G40" s="595"/>
      <c r="H40" s="595"/>
      <c r="I40" s="597"/>
      <c r="J40" s="518">
        <f>J39</f>
        <v>685.01891666666654</v>
      </c>
      <c r="K40" s="519"/>
      <c r="L40" s="191"/>
    </row>
    <row r="41" spans="1:17" s="10" customFormat="1" ht="27" customHeight="1" x14ac:dyDescent="0.5">
      <c r="A41" s="6" t="s">
        <v>162</v>
      </c>
      <c r="B41" s="6"/>
      <c r="C41" s="6"/>
      <c r="D41" s="6"/>
      <c r="E41" s="6"/>
      <c r="F41" s="6"/>
      <c r="G41" s="6"/>
      <c r="H41" s="454"/>
      <c r="I41" s="454"/>
      <c r="J41" s="686" t="s">
        <v>584</v>
      </c>
      <c r="K41" s="686"/>
      <c r="L41" s="88"/>
    </row>
    <row r="42" spans="1:17" s="6" customFormat="1" ht="27" customHeight="1" x14ac:dyDescent="0.2">
      <c r="A42" s="541" t="s">
        <v>555</v>
      </c>
      <c r="B42" s="541"/>
      <c r="C42" s="541"/>
      <c r="D42" s="541"/>
      <c r="E42" s="541"/>
      <c r="F42" s="541"/>
      <c r="G42" s="541" t="s">
        <v>580</v>
      </c>
      <c r="H42" s="541"/>
      <c r="I42" s="541"/>
      <c r="J42" s="541"/>
      <c r="K42" s="541"/>
      <c r="L42" s="541"/>
    </row>
    <row r="43" spans="1:17" s="6" customFormat="1" ht="27" customHeight="1" x14ac:dyDescent="0.2">
      <c r="A43" s="541" t="s">
        <v>578</v>
      </c>
      <c r="B43" s="541"/>
      <c r="C43" s="541"/>
      <c r="D43" s="541"/>
      <c r="E43" s="541"/>
      <c r="F43" s="541"/>
      <c r="G43" s="541" t="s">
        <v>583</v>
      </c>
      <c r="H43" s="541"/>
      <c r="I43" s="541"/>
      <c r="J43" s="541"/>
      <c r="K43" s="541"/>
      <c r="L43" s="541"/>
    </row>
    <row r="44" spans="1:17" s="10" customFormat="1" ht="27" customHeight="1" thickBot="1" x14ac:dyDescent="0.55000000000000004">
      <c r="A44" s="684" t="s">
        <v>551</v>
      </c>
      <c r="B44" s="685"/>
      <c r="C44" s="685"/>
      <c r="D44" s="685"/>
      <c r="E44" s="685"/>
      <c r="F44" s="685"/>
      <c r="G44" s="685"/>
      <c r="H44" s="685"/>
      <c r="I44" s="685"/>
      <c r="J44" s="685"/>
      <c r="K44" s="685"/>
    </row>
    <row r="45" spans="1:17" ht="27" customHeight="1" thickBot="1" x14ac:dyDescent="0.25">
      <c r="A45" s="605" t="s">
        <v>3</v>
      </c>
      <c r="B45" s="610" t="s">
        <v>4</v>
      </c>
      <c r="C45" s="607"/>
      <c r="D45" s="605" t="s">
        <v>18</v>
      </c>
      <c r="E45" s="609" t="s">
        <v>19</v>
      </c>
      <c r="F45" s="594" t="s">
        <v>20</v>
      </c>
      <c r="G45" s="597"/>
      <c r="H45" s="594" t="s">
        <v>21</v>
      </c>
      <c r="I45" s="597"/>
      <c r="J45" s="449" t="s">
        <v>22</v>
      </c>
      <c r="K45" s="607" t="s">
        <v>8</v>
      </c>
      <c r="L45" s="6"/>
      <c r="M45" s="6"/>
    </row>
    <row r="46" spans="1:17" ht="27" customHeight="1" thickBot="1" x14ac:dyDescent="0.25">
      <c r="A46" s="606"/>
      <c r="B46" s="611"/>
      <c r="C46" s="608"/>
      <c r="D46" s="606"/>
      <c r="E46" s="614"/>
      <c r="F46" s="116" t="s">
        <v>23</v>
      </c>
      <c r="G46" s="451" t="s">
        <v>24</v>
      </c>
      <c r="H46" s="116" t="s">
        <v>23</v>
      </c>
      <c r="I46" s="116" t="s">
        <v>24</v>
      </c>
      <c r="J46" s="450" t="s">
        <v>25</v>
      </c>
      <c r="K46" s="608"/>
      <c r="L46" s="6"/>
      <c r="M46" s="6"/>
    </row>
    <row r="47" spans="1:17" ht="27" customHeight="1" x14ac:dyDescent="0.2">
      <c r="A47" s="156">
        <v>2</v>
      </c>
      <c r="B47" s="6" t="s">
        <v>188</v>
      </c>
      <c r="C47" s="6"/>
      <c r="D47" s="179"/>
      <c r="E47" s="180"/>
      <c r="F47" s="181"/>
      <c r="G47" s="182"/>
      <c r="H47" s="181"/>
      <c r="I47" s="181"/>
      <c r="J47" s="181"/>
      <c r="K47" s="182"/>
      <c r="L47" s="6"/>
      <c r="M47" s="6"/>
    </row>
    <row r="48" spans="1:17" ht="27" customHeight="1" x14ac:dyDescent="0.2">
      <c r="A48" s="166"/>
      <c r="B48" s="452">
        <v>2.1</v>
      </c>
      <c r="C48" s="125" t="s">
        <v>189</v>
      </c>
      <c r="D48" s="183">
        <v>10</v>
      </c>
      <c r="E48" s="119" t="s">
        <v>72</v>
      </c>
      <c r="F48" s="185">
        <f>วัสดุ!B22</f>
        <v>654.21</v>
      </c>
      <c r="G48" s="184">
        <f t="shared" ref="G48:G56" si="3">D48*F48</f>
        <v>6542.1</v>
      </c>
      <c r="H48" s="185">
        <v>91</v>
      </c>
      <c r="I48" s="183">
        <f t="shared" ref="I48:I56" si="4">D48*H48</f>
        <v>910</v>
      </c>
      <c r="J48" s="183">
        <f t="shared" ref="J48:J56" si="5">G48+I48</f>
        <v>7452.1</v>
      </c>
      <c r="K48" s="186"/>
      <c r="L48" s="187"/>
      <c r="M48" s="188"/>
      <c r="N48" s="188">
        <v>75</v>
      </c>
    </row>
    <row r="49" spans="1:14" ht="27" customHeight="1" x14ac:dyDescent="0.2">
      <c r="A49" s="166"/>
      <c r="B49" s="453">
        <v>2.2000000000000002</v>
      </c>
      <c r="C49" s="120" t="s">
        <v>173</v>
      </c>
      <c r="D49" s="183">
        <v>13</v>
      </c>
      <c r="E49" s="119" t="s">
        <v>72</v>
      </c>
      <c r="F49" s="183">
        <f>F26</f>
        <v>2187.38</v>
      </c>
      <c r="G49" s="167">
        <f t="shared" si="3"/>
        <v>28435.940000000002</v>
      </c>
      <c r="H49" s="189">
        <v>306</v>
      </c>
      <c r="I49" s="167">
        <f t="shared" si="4"/>
        <v>3978</v>
      </c>
      <c r="J49" s="167">
        <f t="shared" si="5"/>
        <v>32413.940000000002</v>
      </c>
      <c r="K49" s="169"/>
      <c r="L49" s="187"/>
      <c r="M49" s="188"/>
      <c r="N49" s="188">
        <v>197</v>
      </c>
    </row>
    <row r="50" spans="1:14" ht="27" customHeight="1" x14ac:dyDescent="0.2">
      <c r="A50" s="166"/>
      <c r="B50" s="453">
        <v>2.2999999999999998</v>
      </c>
      <c r="C50" s="123" t="s">
        <v>174</v>
      </c>
      <c r="D50" s="167"/>
      <c r="E50" s="453"/>
      <c r="F50" s="167"/>
      <c r="G50" s="168"/>
      <c r="H50" s="173"/>
      <c r="I50" s="167"/>
      <c r="J50" s="167"/>
      <c r="K50" s="169"/>
      <c r="L50" s="172"/>
      <c r="M50" s="171"/>
      <c r="N50" s="121"/>
    </row>
    <row r="51" spans="1:14" ht="27" customHeight="1" x14ac:dyDescent="0.2">
      <c r="A51" s="166"/>
      <c r="B51" s="453" t="s">
        <v>159</v>
      </c>
      <c r="C51" s="123" t="s">
        <v>190</v>
      </c>
      <c r="D51" s="167">
        <v>269.35000000000002</v>
      </c>
      <c r="E51" s="453" t="s">
        <v>73</v>
      </c>
      <c r="F51" s="189">
        <f>วัสดุ!B3</f>
        <v>22.19</v>
      </c>
      <c r="G51" s="190">
        <f t="shared" si="3"/>
        <v>5976.8765000000012</v>
      </c>
      <c r="H51" s="173">
        <v>4.0999999999999996</v>
      </c>
      <c r="I51" s="167">
        <f t="shared" si="4"/>
        <v>1104.335</v>
      </c>
      <c r="J51" s="183">
        <f t="shared" si="5"/>
        <v>7081.2115000000013</v>
      </c>
      <c r="K51" s="186"/>
      <c r="L51" s="191"/>
      <c r="M51" s="188"/>
      <c r="N51" s="121">
        <v>2.75</v>
      </c>
    </row>
    <row r="52" spans="1:14" ht="27" customHeight="1" x14ac:dyDescent="0.2">
      <c r="A52" s="166"/>
      <c r="B52" s="453" t="s">
        <v>159</v>
      </c>
      <c r="C52" s="123" t="s">
        <v>175</v>
      </c>
      <c r="D52" s="167">
        <v>266.95999999999998</v>
      </c>
      <c r="E52" s="453" t="s">
        <v>73</v>
      </c>
      <c r="F52" s="189">
        <f>F28</f>
        <v>21.22</v>
      </c>
      <c r="G52" s="192">
        <f t="shared" si="3"/>
        <v>5664.8911999999991</v>
      </c>
      <c r="H52" s="189">
        <v>4.0999999999999996</v>
      </c>
      <c r="I52" s="193">
        <f t="shared" si="4"/>
        <v>1094.5359999999998</v>
      </c>
      <c r="J52" s="167">
        <f t="shared" si="5"/>
        <v>6759.4271999999992</v>
      </c>
      <c r="K52" s="169"/>
      <c r="L52" s="191"/>
      <c r="M52" s="188"/>
      <c r="N52" s="121">
        <v>2.75</v>
      </c>
    </row>
    <row r="53" spans="1:14" ht="27" customHeight="1" x14ac:dyDescent="0.2">
      <c r="A53" s="166"/>
      <c r="B53" s="453" t="s">
        <v>159</v>
      </c>
      <c r="C53" s="123" t="s">
        <v>26</v>
      </c>
      <c r="D53" s="167">
        <f>(D51+D52)*0.03</f>
        <v>16.089299999999998</v>
      </c>
      <c r="E53" s="453" t="s">
        <v>73</v>
      </c>
      <c r="F53" s="189">
        <f>F31</f>
        <v>40.89</v>
      </c>
      <c r="G53" s="167">
        <f t="shared" si="3"/>
        <v>657.8914769999999</v>
      </c>
      <c r="H53" s="167">
        <v>0</v>
      </c>
      <c r="I53" s="192">
        <f t="shared" si="4"/>
        <v>0</v>
      </c>
      <c r="J53" s="167">
        <f t="shared" si="5"/>
        <v>657.8914769999999</v>
      </c>
      <c r="K53" s="169"/>
      <c r="L53" s="187"/>
      <c r="M53" s="188"/>
      <c r="N53" s="188">
        <v>0</v>
      </c>
    </row>
    <row r="54" spans="1:14" ht="27" customHeight="1" x14ac:dyDescent="0.2">
      <c r="A54" s="166"/>
      <c r="B54" s="453">
        <v>2.4</v>
      </c>
      <c r="C54" s="123" t="s">
        <v>191</v>
      </c>
      <c r="D54" s="167">
        <f>45*0.5</f>
        <v>22.5</v>
      </c>
      <c r="E54" s="453" t="s">
        <v>40</v>
      </c>
      <c r="F54" s="189">
        <v>400</v>
      </c>
      <c r="G54" s="190">
        <f t="shared" si="3"/>
        <v>9000</v>
      </c>
      <c r="H54" s="167">
        <v>0</v>
      </c>
      <c r="I54" s="167">
        <f t="shared" si="4"/>
        <v>0</v>
      </c>
      <c r="J54" s="167">
        <f t="shared" si="5"/>
        <v>9000</v>
      </c>
      <c r="K54" s="169"/>
      <c r="L54" s="187"/>
      <c r="M54" s="188"/>
      <c r="N54" s="188">
        <v>75</v>
      </c>
    </row>
    <row r="55" spans="1:14" ht="27" customHeight="1" x14ac:dyDescent="0.2">
      <c r="A55" s="166"/>
      <c r="B55" s="453" t="s">
        <v>159</v>
      </c>
      <c r="C55" s="123" t="s">
        <v>179</v>
      </c>
      <c r="D55" s="167">
        <v>45</v>
      </c>
      <c r="E55" s="453" t="s">
        <v>40</v>
      </c>
      <c r="F55" s="167">
        <v>0</v>
      </c>
      <c r="G55" s="167">
        <f>D55*F55</f>
        <v>0</v>
      </c>
      <c r="H55" s="167">
        <v>133</v>
      </c>
      <c r="I55" s="167">
        <f>D55*H55</f>
        <v>5985</v>
      </c>
      <c r="J55" s="167">
        <f>G55+I55</f>
        <v>5985</v>
      </c>
      <c r="K55" s="169"/>
      <c r="L55" s="187"/>
      <c r="M55" s="188"/>
      <c r="N55" s="188">
        <v>75</v>
      </c>
    </row>
    <row r="56" spans="1:14" ht="27" customHeight="1" x14ac:dyDescent="0.2">
      <c r="A56" s="166"/>
      <c r="B56" s="453">
        <v>2.5</v>
      </c>
      <c r="C56" s="123" t="s">
        <v>181</v>
      </c>
      <c r="D56" s="167">
        <f>D55*0.25</f>
        <v>11.25</v>
      </c>
      <c r="E56" s="453" t="s">
        <v>73</v>
      </c>
      <c r="F56" s="189">
        <f>F35</f>
        <v>46.73</v>
      </c>
      <c r="G56" s="167">
        <f t="shared" si="3"/>
        <v>525.71249999999998</v>
      </c>
      <c r="H56" s="167">
        <v>0</v>
      </c>
      <c r="I56" s="167">
        <f t="shared" si="4"/>
        <v>0</v>
      </c>
      <c r="J56" s="167">
        <f t="shared" si="5"/>
        <v>525.71249999999998</v>
      </c>
      <c r="K56" s="169"/>
      <c r="L56" s="187"/>
      <c r="M56" s="188"/>
      <c r="N56" s="188">
        <v>0</v>
      </c>
    </row>
    <row r="57" spans="1:14" ht="27" customHeight="1" x14ac:dyDescent="0.2">
      <c r="A57" s="166"/>
      <c r="B57" s="123"/>
      <c r="C57" s="123"/>
      <c r="D57" s="174"/>
      <c r="E57" s="453"/>
      <c r="F57" s="174"/>
      <c r="G57" s="184"/>
      <c r="H57" s="167"/>
      <c r="I57" s="183"/>
      <c r="J57" s="189"/>
      <c r="K57" s="169"/>
      <c r="L57" s="191"/>
    </row>
    <row r="58" spans="1:14" ht="27" customHeight="1" x14ac:dyDescent="0.2">
      <c r="A58" s="166"/>
      <c r="B58" s="123"/>
      <c r="C58" s="123"/>
      <c r="D58" s="167"/>
      <c r="E58" s="453"/>
      <c r="F58" s="174"/>
      <c r="G58" s="168"/>
      <c r="H58" s="167"/>
      <c r="I58" s="167"/>
      <c r="J58" s="189"/>
      <c r="K58" s="169"/>
      <c r="L58" s="191"/>
    </row>
    <row r="59" spans="1:14" ht="27" customHeight="1" x14ac:dyDescent="0.2">
      <c r="A59" s="166"/>
      <c r="B59" s="123"/>
      <c r="C59" s="123"/>
      <c r="D59" s="174"/>
      <c r="E59" s="453"/>
      <c r="F59" s="174"/>
      <c r="G59" s="168"/>
      <c r="H59" s="167"/>
      <c r="I59" s="167"/>
      <c r="J59" s="189"/>
      <c r="K59" s="169"/>
      <c r="L59" s="191"/>
    </row>
    <row r="60" spans="1:14" ht="27" customHeight="1" x14ac:dyDescent="0.2">
      <c r="A60" s="166"/>
      <c r="B60" s="123"/>
      <c r="C60" s="123"/>
      <c r="D60" s="167"/>
      <c r="E60" s="453"/>
      <c r="F60" s="174"/>
      <c r="G60" s="168"/>
      <c r="H60" s="167"/>
      <c r="I60" s="167"/>
      <c r="J60" s="189"/>
      <c r="K60" s="169"/>
      <c r="L60" s="191"/>
    </row>
    <row r="61" spans="1:14" ht="27" customHeight="1" x14ac:dyDescent="0.2">
      <c r="A61" s="166"/>
      <c r="B61" s="123"/>
      <c r="C61" s="123"/>
      <c r="D61" s="167"/>
      <c r="E61" s="453"/>
      <c r="F61" s="174"/>
      <c r="G61" s="168"/>
      <c r="H61" s="167"/>
      <c r="I61" s="167"/>
      <c r="J61" s="189"/>
      <c r="K61" s="169"/>
      <c r="L61" s="191"/>
    </row>
    <row r="62" spans="1:14" ht="27" customHeight="1" x14ac:dyDescent="0.2">
      <c r="A62" s="166"/>
      <c r="B62" s="678" t="s">
        <v>185</v>
      </c>
      <c r="C62" s="679"/>
      <c r="D62" s="679"/>
      <c r="E62" s="679"/>
      <c r="F62" s="679"/>
      <c r="G62" s="679"/>
      <c r="H62" s="679"/>
      <c r="I62" s="680"/>
      <c r="J62" s="167">
        <f>SUM(J47:J61)</f>
        <v>69875.282676999981</v>
      </c>
      <c r="K62" s="169"/>
      <c r="L62" s="194"/>
    </row>
    <row r="63" spans="1:14" ht="27" customHeight="1" thickBot="1" x14ac:dyDescent="0.25">
      <c r="A63" s="166"/>
      <c r="B63" s="681" t="s">
        <v>192</v>
      </c>
      <c r="C63" s="682"/>
      <c r="D63" s="682"/>
      <c r="E63" s="682"/>
      <c r="F63" s="682"/>
      <c r="G63" s="682"/>
      <c r="H63" s="682"/>
      <c r="I63" s="683"/>
      <c r="J63" s="167">
        <f>J62/100</f>
        <v>698.75282676999984</v>
      </c>
      <c r="K63" s="169"/>
      <c r="L63" s="194"/>
    </row>
    <row r="64" spans="1:14" ht="27" customHeight="1" thickBot="1" x14ac:dyDescent="0.25">
      <c r="A64" s="517"/>
      <c r="B64" s="594" t="s">
        <v>193</v>
      </c>
      <c r="C64" s="595"/>
      <c r="D64" s="595"/>
      <c r="E64" s="595"/>
      <c r="F64" s="595"/>
      <c r="G64" s="595"/>
      <c r="H64" s="595"/>
      <c r="I64" s="597"/>
      <c r="J64" s="520">
        <f>J63</f>
        <v>698.75282676999984</v>
      </c>
      <c r="K64" s="519"/>
      <c r="L64" s="191"/>
    </row>
    <row r="65" spans="1:14" s="10" customFormat="1" ht="27" customHeight="1" x14ac:dyDescent="0.5">
      <c r="A65" s="6" t="s">
        <v>162</v>
      </c>
      <c r="B65" s="6"/>
      <c r="C65" s="6"/>
      <c r="D65" s="6"/>
      <c r="E65" s="6"/>
      <c r="F65" s="6"/>
      <c r="G65" s="6"/>
      <c r="H65" s="686" t="s">
        <v>585</v>
      </c>
      <c r="I65" s="686"/>
      <c r="J65" s="686"/>
      <c r="K65" s="686"/>
      <c r="L65" s="88"/>
    </row>
    <row r="66" spans="1:14" s="6" customFormat="1" ht="27" customHeight="1" x14ac:dyDescent="0.2">
      <c r="A66" s="541" t="s">
        <v>555</v>
      </c>
      <c r="B66" s="541"/>
      <c r="C66" s="541"/>
      <c r="D66" s="541"/>
      <c r="E66" s="541"/>
      <c r="F66" s="541"/>
      <c r="G66" s="541" t="s">
        <v>580</v>
      </c>
      <c r="H66" s="541"/>
      <c r="I66" s="541"/>
      <c r="J66" s="541"/>
      <c r="K66" s="541"/>
      <c r="L66" s="541"/>
    </row>
    <row r="67" spans="1:14" s="6" customFormat="1" ht="27" customHeight="1" x14ac:dyDescent="0.2">
      <c r="A67" s="541" t="s">
        <v>578</v>
      </c>
      <c r="B67" s="541"/>
      <c r="C67" s="541"/>
      <c r="D67" s="541"/>
      <c r="E67" s="541"/>
      <c r="F67" s="541"/>
      <c r="G67" s="541" t="s">
        <v>583</v>
      </c>
      <c r="H67" s="541"/>
      <c r="I67" s="541"/>
      <c r="J67" s="541"/>
      <c r="K67" s="541"/>
      <c r="L67" s="541"/>
    </row>
    <row r="68" spans="1:14" s="10" customFormat="1" ht="27" customHeight="1" thickBot="1" x14ac:dyDescent="0.55000000000000004">
      <c r="A68" s="684" t="s">
        <v>551</v>
      </c>
      <c r="B68" s="685"/>
      <c r="C68" s="685"/>
      <c r="D68" s="685"/>
      <c r="E68" s="685"/>
      <c r="F68" s="685"/>
      <c r="G68" s="685"/>
      <c r="H68" s="685"/>
      <c r="I68" s="685"/>
      <c r="J68" s="685"/>
      <c r="K68" s="685"/>
    </row>
    <row r="69" spans="1:14" s="448" customFormat="1" ht="27" customHeight="1" thickBot="1" x14ac:dyDescent="0.25">
      <c r="A69" s="605" t="s">
        <v>3</v>
      </c>
      <c r="B69" s="610" t="s">
        <v>4</v>
      </c>
      <c r="C69" s="607"/>
      <c r="D69" s="605" t="s">
        <v>18</v>
      </c>
      <c r="E69" s="609" t="s">
        <v>19</v>
      </c>
      <c r="F69" s="594" t="s">
        <v>20</v>
      </c>
      <c r="G69" s="597"/>
      <c r="H69" s="594" t="s">
        <v>21</v>
      </c>
      <c r="I69" s="597"/>
      <c r="J69" s="449" t="s">
        <v>22</v>
      </c>
      <c r="K69" s="607" t="s">
        <v>8</v>
      </c>
      <c r="L69" s="107"/>
      <c r="M69" s="107"/>
    </row>
    <row r="70" spans="1:14" s="448" customFormat="1" ht="27" customHeight="1" thickBot="1" x14ac:dyDescent="0.25">
      <c r="A70" s="606"/>
      <c r="B70" s="611"/>
      <c r="C70" s="608"/>
      <c r="D70" s="606"/>
      <c r="E70" s="614"/>
      <c r="F70" s="116" t="s">
        <v>23</v>
      </c>
      <c r="G70" s="451" t="s">
        <v>24</v>
      </c>
      <c r="H70" s="116" t="s">
        <v>23</v>
      </c>
      <c r="I70" s="116" t="s">
        <v>24</v>
      </c>
      <c r="J70" s="450" t="s">
        <v>25</v>
      </c>
      <c r="K70" s="608"/>
      <c r="L70" s="107"/>
      <c r="M70" s="107"/>
    </row>
    <row r="71" spans="1:14" ht="27" customHeight="1" x14ac:dyDescent="0.2">
      <c r="A71" s="156">
        <v>3</v>
      </c>
      <c r="B71" s="6" t="s">
        <v>194</v>
      </c>
      <c r="C71" s="6"/>
      <c r="D71" s="164"/>
      <c r="E71" s="107"/>
      <c r="F71" s="165"/>
      <c r="G71" s="158"/>
      <c r="H71" s="165"/>
      <c r="I71" s="165"/>
      <c r="J71" s="157"/>
      <c r="K71" s="158"/>
      <c r="L71" s="6"/>
      <c r="M71" s="6"/>
    </row>
    <row r="72" spans="1:14" ht="27" customHeight="1" x14ac:dyDescent="0.2">
      <c r="A72" s="166"/>
      <c r="B72" s="453">
        <v>3.1</v>
      </c>
      <c r="C72" s="123" t="s">
        <v>195</v>
      </c>
      <c r="D72" s="167">
        <v>2</v>
      </c>
      <c r="E72" s="453" t="s">
        <v>72</v>
      </c>
      <c r="F72" s="167">
        <v>0</v>
      </c>
      <c r="G72" s="168">
        <f t="shared" ref="G72:G84" si="6">D72*F72</f>
        <v>0</v>
      </c>
      <c r="H72" s="167">
        <v>99</v>
      </c>
      <c r="I72" s="167">
        <f t="shared" ref="I72:I83" si="7">D72*H72</f>
        <v>198</v>
      </c>
      <c r="J72" s="167">
        <f t="shared" ref="J72:J84" si="8">G72+I72</f>
        <v>198</v>
      </c>
      <c r="K72" s="169"/>
      <c r="L72" s="195"/>
      <c r="M72" s="133"/>
    </row>
    <row r="73" spans="1:14" ht="27" customHeight="1" x14ac:dyDescent="0.2">
      <c r="A73" s="166"/>
      <c r="B73" s="453">
        <v>3.2</v>
      </c>
      <c r="C73" s="123" t="s">
        <v>189</v>
      </c>
      <c r="D73" s="167">
        <v>0.14000000000000001</v>
      </c>
      <c r="E73" s="453" t="s">
        <v>72</v>
      </c>
      <c r="F73" s="196">
        <f>F48</f>
        <v>654.21</v>
      </c>
      <c r="G73" s="168">
        <f t="shared" si="6"/>
        <v>91.589400000000012</v>
      </c>
      <c r="H73" s="167">
        <f>H48</f>
        <v>91</v>
      </c>
      <c r="I73" s="167">
        <f t="shared" si="7"/>
        <v>12.740000000000002</v>
      </c>
      <c r="J73" s="167">
        <f t="shared" si="8"/>
        <v>104.32940000000002</v>
      </c>
      <c r="K73" s="169"/>
      <c r="L73" s="195"/>
      <c r="M73" s="133"/>
    </row>
    <row r="74" spans="1:14" ht="27" customHeight="1" x14ac:dyDescent="0.2">
      <c r="A74" s="166"/>
      <c r="B74" s="453">
        <v>3.3</v>
      </c>
      <c r="C74" s="123" t="s">
        <v>196</v>
      </c>
      <c r="D74" s="167">
        <v>0.11</v>
      </c>
      <c r="E74" s="453" t="s">
        <v>72</v>
      </c>
      <c r="F74" s="167">
        <f>วัสดุ!B2</f>
        <v>2092.5300000000002</v>
      </c>
      <c r="G74" s="168">
        <f t="shared" si="6"/>
        <v>230.17830000000004</v>
      </c>
      <c r="H74" s="167">
        <v>306</v>
      </c>
      <c r="I74" s="167">
        <f t="shared" si="7"/>
        <v>33.660000000000004</v>
      </c>
      <c r="J74" s="167">
        <f t="shared" si="8"/>
        <v>263.83830000000006</v>
      </c>
      <c r="K74" s="169"/>
      <c r="L74" s="195"/>
      <c r="M74" s="133"/>
    </row>
    <row r="75" spans="1:14" ht="27" customHeight="1" x14ac:dyDescent="0.2">
      <c r="A75" s="166"/>
      <c r="B75" s="453">
        <v>3.4</v>
      </c>
      <c r="C75" s="123" t="s">
        <v>173</v>
      </c>
      <c r="D75" s="167">
        <v>0.54</v>
      </c>
      <c r="E75" s="453" t="s">
        <v>72</v>
      </c>
      <c r="F75" s="167">
        <f>F49</f>
        <v>2187.38</v>
      </c>
      <c r="G75" s="197">
        <f t="shared" si="6"/>
        <v>1181.1852000000001</v>
      </c>
      <c r="H75" s="167">
        <v>306</v>
      </c>
      <c r="I75" s="167">
        <f t="shared" si="7"/>
        <v>165.24</v>
      </c>
      <c r="J75" s="167">
        <f t="shared" si="8"/>
        <v>1346.4252000000001</v>
      </c>
      <c r="K75" s="169"/>
      <c r="L75" s="195"/>
      <c r="M75" s="133"/>
    </row>
    <row r="76" spans="1:14" ht="27" customHeight="1" x14ac:dyDescent="0.2">
      <c r="A76" s="166"/>
      <c r="B76" s="453">
        <v>3.5</v>
      </c>
      <c r="C76" s="123" t="s">
        <v>174</v>
      </c>
      <c r="D76" s="167"/>
      <c r="E76" s="453"/>
      <c r="F76" s="167"/>
      <c r="G76" s="168"/>
      <c r="H76" s="173"/>
      <c r="I76" s="167"/>
      <c r="J76" s="167"/>
      <c r="K76" s="169"/>
      <c r="L76" s="172"/>
      <c r="M76" s="171"/>
      <c r="N76" s="121"/>
    </row>
    <row r="77" spans="1:14" ht="27" customHeight="1" x14ac:dyDescent="0.2">
      <c r="A77" s="166"/>
      <c r="B77" s="453" t="s">
        <v>159</v>
      </c>
      <c r="C77" s="123" t="s">
        <v>190</v>
      </c>
      <c r="D77" s="198">
        <v>11.15</v>
      </c>
      <c r="E77" s="453" t="s">
        <v>73</v>
      </c>
      <c r="F77" s="189">
        <f>F51</f>
        <v>22.19</v>
      </c>
      <c r="G77" s="167">
        <f t="shared" si="6"/>
        <v>247.41850000000002</v>
      </c>
      <c r="H77" s="189">
        <v>4.0999999999999996</v>
      </c>
      <c r="I77" s="167">
        <f t="shared" si="7"/>
        <v>45.714999999999996</v>
      </c>
      <c r="J77" s="167">
        <f t="shared" si="8"/>
        <v>293.13350000000003</v>
      </c>
      <c r="K77" s="169"/>
      <c r="L77" s="195"/>
      <c r="M77" s="133"/>
    </row>
    <row r="78" spans="1:14" ht="27" customHeight="1" x14ac:dyDescent="0.2">
      <c r="A78" s="166"/>
      <c r="B78" s="453" t="s">
        <v>159</v>
      </c>
      <c r="C78" s="123" t="s">
        <v>175</v>
      </c>
      <c r="D78" s="192">
        <v>22.64</v>
      </c>
      <c r="E78" s="453" t="s">
        <v>73</v>
      </c>
      <c r="F78" s="189">
        <f>F52</f>
        <v>21.22</v>
      </c>
      <c r="G78" s="167">
        <f t="shared" si="6"/>
        <v>480.42079999999999</v>
      </c>
      <c r="H78" s="189">
        <v>4.0999999999999996</v>
      </c>
      <c r="I78" s="167">
        <f t="shared" si="7"/>
        <v>92.823999999999998</v>
      </c>
      <c r="J78" s="167">
        <f t="shared" si="8"/>
        <v>573.24479999999994</v>
      </c>
      <c r="K78" s="169"/>
      <c r="L78" s="195"/>
      <c r="M78" s="133"/>
    </row>
    <row r="79" spans="1:14" ht="27" customHeight="1" x14ac:dyDescent="0.2">
      <c r="A79" s="166"/>
      <c r="B79" s="453" t="s">
        <v>159</v>
      </c>
      <c r="C79" s="123" t="s">
        <v>26</v>
      </c>
      <c r="D79" s="167">
        <f>(D77+D78)*0.03</f>
        <v>1.0137</v>
      </c>
      <c r="E79" s="453" t="s">
        <v>73</v>
      </c>
      <c r="F79" s="167">
        <f>F53</f>
        <v>40.89</v>
      </c>
      <c r="G79" s="184">
        <f t="shared" si="6"/>
        <v>41.450193000000006</v>
      </c>
      <c r="H79" s="167">
        <v>0</v>
      </c>
      <c r="I79" s="167">
        <f t="shared" si="7"/>
        <v>0</v>
      </c>
      <c r="J79" s="167">
        <f t="shared" si="8"/>
        <v>41.450193000000006</v>
      </c>
      <c r="K79" s="169"/>
      <c r="L79" s="195"/>
      <c r="M79" s="133"/>
    </row>
    <row r="80" spans="1:14" ht="27" customHeight="1" x14ac:dyDescent="0.2">
      <c r="A80" s="166"/>
      <c r="B80" s="453">
        <v>3.6</v>
      </c>
      <c r="C80" s="123" t="s">
        <v>197</v>
      </c>
      <c r="D80" s="167">
        <v>2.2999999999999998</v>
      </c>
      <c r="E80" s="453" t="s">
        <v>74</v>
      </c>
      <c r="F80" s="167">
        <v>400</v>
      </c>
      <c r="G80" s="168">
        <f t="shared" si="6"/>
        <v>919.99999999999989</v>
      </c>
      <c r="H80" s="167">
        <v>0</v>
      </c>
      <c r="I80" s="167">
        <f t="shared" si="7"/>
        <v>0</v>
      </c>
      <c r="J80" s="167">
        <f t="shared" si="8"/>
        <v>919.99999999999989</v>
      </c>
      <c r="K80" s="169"/>
      <c r="L80" s="195"/>
      <c r="M80" s="133"/>
    </row>
    <row r="81" spans="1:13" ht="27" customHeight="1" x14ac:dyDescent="0.2">
      <c r="A81" s="166"/>
      <c r="B81" s="453" t="s">
        <v>159</v>
      </c>
      <c r="C81" s="123" t="s">
        <v>198</v>
      </c>
      <c r="D81" s="167">
        <v>9.1999999999999993</v>
      </c>
      <c r="E81" s="453" t="s">
        <v>40</v>
      </c>
      <c r="F81" s="167">
        <v>0</v>
      </c>
      <c r="G81" s="168">
        <f t="shared" si="6"/>
        <v>0</v>
      </c>
      <c r="H81" s="167">
        <v>133</v>
      </c>
      <c r="I81" s="167">
        <f t="shared" si="7"/>
        <v>1223.5999999999999</v>
      </c>
      <c r="J81" s="167">
        <f t="shared" si="8"/>
        <v>1223.5999999999999</v>
      </c>
      <c r="K81" s="169"/>
      <c r="L81" s="195"/>
      <c r="M81" s="133"/>
    </row>
    <row r="82" spans="1:13" ht="27" customHeight="1" x14ac:dyDescent="0.2">
      <c r="A82" s="166"/>
      <c r="B82" s="453" t="s">
        <v>159</v>
      </c>
      <c r="C82" s="123" t="s">
        <v>199</v>
      </c>
      <c r="D82" s="167">
        <v>0.69</v>
      </c>
      <c r="E82" s="453" t="s">
        <v>74</v>
      </c>
      <c r="F82" s="167">
        <v>400</v>
      </c>
      <c r="G82" s="168">
        <f t="shared" si="6"/>
        <v>276</v>
      </c>
      <c r="H82" s="167">
        <v>0</v>
      </c>
      <c r="I82" s="167">
        <f t="shared" si="7"/>
        <v>0</v>
      </c>
      <c r="J82" s="167">
        <f t="shared" si="8"/>
        <v>276</v>
      </c>
      <c r="K82" s="169"/>
      <c r="L82" s="195"/>
      <c r="M82" s="133"/>
    </row>
    <row r="83" spans="1:13" ht="27" customHeight="1" x14ac:dyDescent="0.2">
      <c r="A83" s="166"/>
      <c r="B83" s="453">
        <v>3.7</v>
      </c>
      <c r="C83" s="123" t="s">
        <v>181</v>
      </c>
      <c r="D83" s="167">
        <f>D81*0.25</f>
        <v>2.2999999999999998</v>
      </c>
      <c r="E83" s="453" t="s">
        <v>73</v>
      </c>
      <c r="F83" s="167">
        <f>F56</f>
        <v>46.73</v>
      </c>
      <c r="G83" s="168">
        <f t="shared" si="6"/>
        <v>107.47899999999998</v>
      </c>
      <c r="H83" s="167">
        <v>0</v>
      </c>
      <c r="I83" s="167">
        <f t="shared" si="7"/>
        <v>0</v>
      </c>
      <c r="J83" s="167">
        <f t="shared" si="8"/>
        <v>107.47899999999998</v>
      </c>
      <c r="K83" s="169"/>
      <c r="L83" s="195"/>
      <c r="M83" s="133"/>
    </row>
    <row r="84" spans="1:13" ht="27" customHeight="1" x14ac:dyDescent="0.2">
      <c r="A84" s="166"/>
      <c r="B84" s="453">
        <v>3.8</v>
      </c>
      <c r="C84" s="123" t="s">
        <v>200</v>
      </c>
      <c r="D84" s="167">
        <v>7.5</v>
      </c>
      <c r="E84" s="453" t="s">
        <v>71</v>
      </c>
      <c r="F84" s="167">
        <v>52</v>
      </c>
      <c r="G84" s="168">
        <f t="shared" si="6"/>
        <v>390</v>
      </c>
      <c r="H84" s="167">
        <v>16</v>
      </c>
      <c r="I84" s="167">
        <f>D84*H84</f>
        <v>120</v>
      </c>
      <c r="J84" s="167">
        <f t="shared" si="8"/>
        <v>510</v>
      </c>
      <c r="K84" s="169"/>
      <c r="L84" s="195"/>
      <c r="M84" s="133"/>
    </row>
    <row r="85" spans="1:13" ht="27" customHeight="1" x14ac:dyDescent="0.2">
      <c r="A85" s="166"/>
      <c r="B85" s="123"/>
      <c r="C85" s="123"/>
      <c r="D85" s="167"/>
      <c r="E85" s="453"/>
      <c r="F85" s="167"/>
      <c r="G85" s="168"/>
      <c r="H85" s="167"/>
      <c r="I85" s="167"/>
      <c r="J85" s="167"/>
      <c r="K85" s="169"/>
      <c r="L85" s="191"/>
    </row>
    <row r="86" spans="1:13" ht="27" customHeight="1" x14ac:dyDescent="0.2">
      <c r="A86" s="166"/>
      <c r="B86" s="123"/>
      <c r="C86" s="123"/>
      <c r="D86" s="167"/>
      <c r="E86" s="453"/>
      <c r="F86" s="167"/>
      <c r="G86" s="168"/>
      <c r="H86" s="167"/>
      <c r="I86" s="167"/>
      <c r="J86" s="167"/>
      <c r="K86" s="169"/>
      <c r="L86" s="191"/>
    </row>
    <row r="87" spans="1:13" ht="27" customHeight="1" thickBot="1" x14ac:dyDescent="0.25">
      <c r="A87" s="166"/>
      <c r="B87" s="678" t="s">
        <v>185</v>
      </c>
      <c r="C87" s="679"/>
      <c r="D87" s="679"/>
      <c r="E87" s="679"/>
      <c r="F87" s="679"/>
      <c r="G87" s="679"/>
      <c r="H87" s="679"/>
      <c r="I87" s="680"/>
      <c r="J87" s="167">
        <f>SUM(J71:J86)</f>
        <v>5857.5003930000003</v>
      </c>
      <c r="K87" s="169"/>
      <c r="L87" s="194"/>
    </row>
    <row r="88" spans="1:13" ht="27" customHeight="1" thickBot="1" x14ac:dyDescent="0.25">
      <c r="A88" s="517"/>
      <c r="B88" s="594" t="s">
        <v>201</v>
      </c>
      <c r="C88" s="595"/>
      <c r="D88" s="595"/>
      <c r="E88" s="595"/>
      <c r="F88" s="595"/>
      <c r="G88" s="595"/>
      <c r="H88" s="595"/>
      <c r="I88" s="597"/>
      <c r="J88" s="518">
        <f>J87</f>
        <v>5857.5003930000003</v>
      </c>
      <c r="K88" s="519"/>
      <c r="L88" s="191"/>
    </row>
    <row r="89" spans="1:13" s="10" customFormat="1" ht="27" customHeight="1" x14ac:dyDescent="0.5">
      <c r="A89" s="6" t="s">
        <v>162</v>
      </c>
      <c r="B89" s="6"/>
      <c r="C89" s="6"/>
      <c r="D89" s="6"/>
      <c r="E89" s="6"/>
      <c r="F89" s="6"/>
      <c r="G89" s="6"/>
      <c r="H89" s="686" t="s">
        <v>586</v>
      </c>
      <c r="I89" s="686"/>
      <c r="J89" s="686"/>
      <c r="K89" s="686"/>
      <c r="L89" s="88"/>
    </row>
    <row r="90" spans="1:13" s="6" customFormat="1" ht="27" customHeight="1" x14ac:dyDescent="0.2">
      <c r="A90" s="541" t="s">
        <v>555</v>
      </c>
      <c r="B90" s="541"/>
      <c r="C90" s="541"/>
      <c r="D90" s="541"/>
      <c r="E90" s="541"/>
      <c r="F90" s="541"/>
      <c r="G90" s="541" t="s">
        <v>580</v>
      </c>
      <c r="H90" s="541"/>
      <c r="I90" s="541"/>
      <c r="J90" s="541"/>
      <c r="K90" s="541"/>
      <c r="L90" s="541"/>
    </row>
    <row r="91" spans="1:13" s="6" customFormat="1" ht="27" customHeight="1" x14ac:dyDescent="0.2">
      <c r="A91" s="541" t="s">
        <v>578</v>
      </c>
      <c r="B91" s="541"/>
      <c r="C91" s="541"/>
      <c r="D91" s="541"/>
      <c r="E91" s="541"/>
      <c r="F91" s="541"/>
      <c r="G91" s="541" t="s">
        <v>583</v>
      </c>
      <c r="H91" s="541"/>
      <c r="I91" s="541"/>
      <c r="J91" s="541"/>
      <c r="K91" s="541"/>
      <c r="L91" s="541"/>
    </row>
    <row r="92" spans="1:13" s="10" customFormat="1" ht="27" customHeight="1" thickBot="1" x14ac:dyDescent="0.55000000000000004">
      <c r="A92" s="684" t="s">
        <v>551</v>
      </c>
      <c r="B92" s="685"/>
      <c r="C92" s="685"/>
      <c r="D92" s="685"/>
      <c r="E92" s="685"/>
      <c r="F92" s="685"/>
      <c r="G92" s="685"/>
      <c r="H92" s="685"/>
      <c r="I92" s="685"/>
      <c r="J92" s="685"/>
      <c r="K92" s="685"/>
    </row>
    <row r="93" spans="1:13" s="448" customFormat="1" ht="27" customHeight="1" thickBot="1" x14ac:dyDescent="0.25">
      <c r="A93" s="605" t="s">
        <v>3</v>
      </c>
      <c r="B93" s="610" t="s">
        <v>4</v>
      </c>
      <c r="C93" s="607"/>
      <c r="D93" s="605" t="s">
        <v>18</v>
      </c>
      <c r="E93" s="609" t="s">
        <v>19</v>
      </c>
      <c r="F93" s="594" t="s">
        <v>20</v>
      </c>
      <c r="G93" s="597"/>
      <c r="H93" s="594" t="s">
        <v>21</v>
      </c>
      <c r="I93" s="597"/>
      <c r="J93" s="449" t="s">
        <v>22</v>
      </c>
      <c r="K93" s="607" t="s">
        <v>8</v>
      </c>
      <c r="L93" s="107"/>
      <c r="M93" s="107"/>
    </row>
    <row r="94" spans="1:13" s="448" customFormat="1" ht="27" customHeight="1" thickBot="1" x14ac:dyDescent="0.25">
      <c r="A94" s="606"/>
      <c r="B94" s="611"/>
      <c r="C94" s="608"/>
      <c r="D94" s="606"/>
      <c r="E94" s="614"/>
      <c r="F94" s="116" t="s">
        <v>23</v>
      </c>
      <c r="G94" s="451" t="s">
        <v>24</v>
      </c>
      <c r="H94" s="116" t="s">
        <v>23</v>
      </c>
      <c r="I94" s="116" t="s">
        <v>24</v>
      </c>
      <c r="J94" s="450" t="s">
        <v>25</v>
      </c>
      <c r="K94" s="608"/>
      <c r="L94" s="107"/>
      <c r="M94" s="107"/>
    </row>
    <row r="95" spans="1:13" ht="27" customHeight="1" x14ac:dyDescent="0.2">
      <c r="A95" s="156">
        <v>4</v>
      </c>
      <c r="B95" s="6" t="s">
        <v>202</v>
      </c>
      <c r="C95" s="6"/>
      <c r="D95" s="159"/>
      <c r="E95" s="117"/>
      <c r="F95" s="181"/>
      <c r="G95" s="181"/>
      <c r="H95" s="181"/>
      <c r="I95" s="181"/>
      <c r="J95" s="181"/>
      <c r="K95" s="158"/>
      <c r="L95" s="6"/>
      <c r="M95" s="6"/>
    </row>
    <row r="96" spans="1:13" ht="27" customHeight="1" x14ac:dyDescent="0.2">
      <c r="A96" s="166"/>
      <c r="B96" s="452">
        <v>4.0999999999999996</v>
      </c>
      <c r="C96" s="125" t="s">
        <v>195</v>
      </c>
      <c r="D96" s="167">
        <v>90.95</v>
      </c>
      <c r="E96" s="122" t="s">
        <v>72</v>
      </c>
      <c r="F96" s="167">
        <v>0</v>
      </c>
      <c r="G96" s="167">
        <f>D96*F96</f>
        <v>0</v>
      </c>
      <c r="H96" s="167">
        <v>99</v>
      </c>
      <c r="I96" s="167">
        <f>D96*H96</f>
        <v>9004.0500000000011</v>
      </c>
      <c r="J96" s="167">
        <f>G96+I96</f>
        <v>9004.0500000000011</v>
      </c>
      <c r="K96" s="174"/>
      <c r="L96" s="191"/>
    </row>
    <row r="97" spans="1:12" ht="27" customHeight="1" x14ac:dyDescent="0.2">
      <c r="A97" s="166"/>
      <c r="B97" s="452">
        <v>4.2</v>
      </c>
      <c r="C97" s="125" t="s">
        <v>203</v>
      </c>
      <c r="D97" s="167">
        <v>2.2799999999999998</v>
      </c>
      <c r="E97" s="122" t="s">
        <v>72</v>
      </c>
      <c r="F97" s="167">
        <f>F73</f>
        <v>654.21</v>
      </c>
      <c r="G97" s="167">
        <f>D97*F97</f>
        <v>1491.5988</v>
      </c>
      <c r="H97" s="167">
        <f>H73</f>
        <v>91</v>
      </c>
      <c r="I97" s="167">
        <f>D97*H97</f>
        <v>207.48</v>
      </c>
      <c r="J97" s="167">
        <f>G97+I97</f>
        <v>1699.0788</v>
      </c>
      <c r="K97" s="174"/>
      <c r="L97" s="191"/>
    </row>
    <row r="98" spans="1:12" ht="27" customHeight="1" x14ac:dyDescent="0.2">
      <c r="A98" s="166"/>
      <c r="B98" s="452">
        <v>4.3</v>
      </c>
      <c r="C98" s="125" t="s">
        <v>196</v>
      </c>
      <c r="D98" s="167">
        <v>4</v>
      </c>
      <c r="E98" s="122" t="s">
        <v>72</v>
      </c>
      <c r="F98" s="167">
        <f>F74</f>
        <v>2092.5300000000002</v>
      </c>
      <c r="G98" s="167">
        <f>F98*D98</f>
        <v>8370.1200000000008</v>
      </c>
      <c r="H98" s="167">
        <f>H74</f>
        <v>306</v>
      </c>
      <c r="I98" s="167">
        <f>D98*H98</f>
        <v>1224</v>
      </c>
      <c r="J98" s="167">
        <f>G98+I98</f>
        <v>9594.1200000000008</v>
      </c>
      <c r="K98" s="174"/>
      <c r="L98" s="191"/>
    </row>
    <row r="99" spans="1:12" ht="27" customHeight="1" x14ac:dyDescent="0.2">
      <c r="A99" s="166"/>
      <c r="B99" s="452">
        <v>4.4000000000000004</v>
      </c>
      <c r="C99" s="125" t="s">
        <v>204</v>
      </c>
      <c r="D99" s="174">
        <v>60</v>
      </c>
      <c r="E99" s="122" t="s">
        <v>31</v>
      </c>
      <c r="F99" s="167">
        <v>230</v>
      </c>
      <c r="G99" s="167">
        <f>D99*F99</f>
        <v>13800</v>
      </c>
      <c r="H99" s="167">
        <v>20</v>
      </c>
      <c r="I99" s="167">
        <f>D99*H99</f>
        <v>1200</v>
      </c>
      <c r="J99" s="167">
        <f>G99+I99</f>
        <v>15000</v>
      </c>
      <c r="K99" s="174"/>
      <c r="L99" s="191"/>
    </row>
    <row r="100" spans="1:12" ht="27" customHeight="1" x14ac:dyDescent="0.2">
      <c r="A100" s="166"/>
      <c r="B100" s="452">
        <v>4.5</v>
      </c>
      <c r="C100" s="125" t="s">
        <v>205</v>
      </c>
      <c r="D100" s="167">
        <v>2.76</v>
      </c>
      <c r="E100" s="122" t="s">
        <v>40</v>
      </c>
      <c r="F100" s="167">
        <v>90</v>
      </c>
      <c r="G100" s="167">
        <f>D100*F100</f>
        <v>248.39999999999998</v>
      </c>
      <c r="H100" s="167">
        <v>0</v>
      </c>
      <c r="I100" s="167">
        <f>D100*H100</f>
        <v>0</v>
      </c>
      <c r="J100" s="167">
        <f>G100+I100</f>
        <v>248.39999999999998</v>
      </c>
      <c r="K100" s="174"/>
      <c r="L100" s="191"/>
    </row>
    <row r="101" spans="1:12" ht="27" customHeight="1" x14ac:dyDescent="0.2">
      <c r="A101" s="166"/>
      <c r="B101" s="199"/>
      <c r="C101" s="200"/>
      <c r="D101" s="167"/>
      <c r="E101" s="122"/>
      <c r="F101" s="174"/>
      <c r="G101" s="201"/>
      <c r="H101" s="201"/>
      <c r="I101" s="201"/>
      <c r="J101" s="167"/>
      <c r="K101" s="174"/>
      <c r="L101" s="191"/>
    </row>
    <row r="102" spans="1:12" ht="27" customHeight="1" x14ac:dyDescent="0.2">
      <c r="A102" s="166"/>
      <c r="B102" s="123"/>
      <c r="C102" s="123"/>
      <c r="D102" s="167"/>
      <c r="E102" s="453"/>
      <c r="F102" s="174"/>
      <c r="G102" s="168"/>
      <c r="H102" s="167"/>
      <c r="I102" s="167"/>
      <c r="J102" s="167"/>
      <c r="K102" s="169"/>
      <c r="L102" s="191"/>
    </row>
    <row r="103" spans="1:12" ht="27" customHeight="1" x14ac:dyDescent="0.2">
      <c r="A103" s="166"/>
      <c r="B103" s="199"/>
      <c r="C103" s="200"/>
      <c r="D103" s="167"/>
      <c r="E103" s="122"/>
      <c r="F103" s="174"/>
      <c r="G103" s="201"/>
      <c r="H103" s="201"/>
      <c r="I103" s="201"/>
      <c r="J103" s="167"/>
      <c r="K103" s="174"/>
      <c r="L103" s="191"/>
    </row>
    <row r="104" spans="1:12" ht="27" customHeight="1" x14ac:dyDescent="0.2">
      <c r="A104" s="166"/>
      <c r="B104" s="123"/>
      <c r="C104" s="123"/>
      <c r="D104" s="167"/>
      <c r="E104" s="453"/>
      <c r="F104" s="174"/>
      <c r="G104" s="168"/>
      <c r="H104" s="167"/>
      <c r="I104" s="167"/>
      <c r="J104" s="167"/>
      <c r="K104" s="169"/>
      <c r="L104" s="191"/>
    </row>
    <row r="105" spans="1:12" ht="27" customHeight="1" x14ac:dyDescent="0.2">
      <c r="A105" s="166"/>
      <c r="B105" s="123"/>
      <c r="C105" s="123"/>
      <c r="D105" s="167"/>
      <c r="E105" s="453"/>
      <c r="F105" s="174"/>
      <c r="G105" s="168"/>
      <c r="H105" s="167"/>
      <c r="I105" s="167"/>
      <c r="J105" s="167"/>
      <c r="K105" s="169"/>
      <c r="L105" s="191"/>
    </row>
    <row r="106" spans="1:12" ht="27" customHeight="1" x14ac:dyDescent="0.2">
      <c r="A106" s="166"/>
      <c r="B106" s="123"/>
      <c r="C106" s="123"/>
      <c r="D106" s="167"/>
      <c r="E106" s="453"/>
      <c r="F106" s="174"/>
      <c r="G106" s="168"/>
      <c r="H106" s="167"/>
      <c r="I106" s="167"/>
      <c r="J106" s="167"/>
      <c r="K106" s="169"/>
      <c r="L106" s="191"/>
    </row>
    <row r="107" spans="1:12" ht="27" customHeight="1" x14ac:dyDescent="0.2">
      <c r="A107" s="166"/>
      <c r="B107" s="123"/>
      <c r="C107" s="123"/>
      <c r="D107" s="167"/>
      <c r="E107" s="453"/>
      <c r="F107" s="174"/>
      <c r="G107" s="168"/>
      <c r="H107" s="167"/>
      <c r="I107" s="167"/>
      <c r="J107" s="167"/>
      <c r="K107" s="169"/>
      <c r="L107" s="191"/>
    </row>
    <row r="108" spans="1:12" ht="27" customHeight="1" x14ac:dyDescent="0.2">
      <c r="A108" s="166"/>
      <c r="B108" s="123"/>
      <c r="C108" s="123"/>
      <c r="D108" s="167"/>
      <c r="E108" s="453"/>
      <c r="F108" s="174"/>
      <c r="G108" s="168"/>
      <c r="H108" s="167"/>
      <c r="I108" s="167"/>
      <c r="J108" s="167"/>
      <c r="K108" s="169"/>
      <c r="L108" s="191"/>
    </row>
    <row r="109" spans="1:12" ht="27" customHeight="1" x14ac:dyDescent="0.2">
      <c r="A109" s="166"/>
      <c r="B109" s="123"/>
      <c r="C109" s="123"/>
      <c r="D109" s="167"/>
      <c r="E109" s="453"/>
      <c r="F109" s="174"/>
      <c r="G109" s="168"/>
      <c r="H109" s="167"/>
      <c r="I109" s="167"/>
      <c r="J109" s="167"/>
      <c r="K109" s="169"/>
      <c r="L109" s="191"/>
    </row>
    <row r="110" spans="1:12" ht="27" customHeight="1" x14ac:dyDescent="0.2">
      <c r="A110" s="166"/>
      <c r="B110" s="678" t="s">
        <v>185</v>
      </c>
      <c r="C110" s="679"/>
      <c r="D110" s="679"/>
      <c r="E110" s="679"/>
      <c r="F110" s="679"/>
      <c r="G110" s="679"/>
      <c r="H110" s="679"/>
      <c r="I110" s="680"/>
      <c r="J110" s="167">
        <f>SUM(J95:J109)</f>
        <v>35545.648800000003</v>
      </c>
      <c r="K110" s="169"/>
      <c r="L110" s="194"/>
    </row>
    <row r="111" spans="1:12" ht="27" customHeight="1" thickBot="1" x14ac:dyDescent="0.25">
      <c r="A111" s="166"/>
      <c r="B111" s="681" t="s">
        <v>192</v>
      </c>
      <c r="C111" s="682"/>
      <c r="D111" s="682"/>
      <c r="E111" s="682"/>
      <c r="F111" s="682"/>
      <c r="G111" s="682"/>
      <c r="H111" s="682"/>
      <c r="I111" s="683"/>
      <c r="J111" s="167">
        <f>FLOOR(J110/60,0.01)</f>
        <v>592.41999999999996</v>
      </c>
      <c r="K111" s="169"/>
      <c r="L111" s="194"/>
    </row>
    <row r="112" spans="1:12" ht="27" customHeight="1" thickBot="1" x14ac:dyDescent="0.25">
      <c r="A112" s="517"/>
      <c r="B112" s="594" t="s">
        <v>206</v>
      </c>
      <c r="C112" s="595"/>
      <c r="D112" s="595"/>
      <c r="E112" s="595"/>
      <c r="F112" s="595"/>
      <c r="G112" s="595"/>
      <c r="H112" s="595"/>
      <c r="I112" s="597"/>
      <c r="J112" s="518">
        <f>J111</f>
        <v>592.41999999999996</v>
      </c>
      <c r="K112" s="519"/>
      <c r="L112" s="191"/>
    </row>
  </sheetData>
  <mergeCells count="80">
    <mergeCell ref="A2:F2"/>
    <mergeCell ref="G2:L2"/>
    <mergeCell ref="A3:F3"/>
    <mergeCell ref="G3:L3"/>
    <mergeCell ref="A4:K4"/>
    <mergeCell ref="A5:A6"/>
    <mergeCell ref="B5:I6"/>
    <mergeCell ref="K5:K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A17:F17"/>
    <mergeCell ref="G17:L17"/>
    <mergeCell ref="I16:K16"/>
    <mergeCell ref="A18:F18"/>
    <mergeCell ref="G18:L18"/>
    <mergeCell ref="A19:K19"/>
    <mergeCell ref="B39:I39"/>
    <mergeCell ref="B40:I40"/>
    <mergeCell ref="E20:E21"/>
    <mergeCell ref="F20:G20"/>
    <mergeCell ref="H20:I20"/>
    <mergeCell ref="K20:K21"/>
    <mergeCell ref="J41:K41"/>
    <mergeCell ref="E45:E46"/>
    <mergeCell ref="F45:G45"/>
    <mergeCell ref="H45:I45"/>
    <mergeCell ref="A20:A21"/>
    <mergeCell ref="B20:C21"/>
    <mergeCell ref="D20:D21"/>
    <mergeCell ref="A43:F43"/>
    <mergeCell ref="G43:L43"/>
    <mergeCell ref="A44:K44"/>
    <mergeCell ref="B38:I38"/>
    <mergeCell ref="K45:K46"/>
    <mergeCell ref="A45:A46"/>
    <mergeCell ref="B45:C46"/>
    <mergeCell ref="D45:D46"/>
    <mergeCell ref="A42:F42"/>
    <mergeCell ref="G42:L42"/>
    <mergeCell ref="A67:F67"/>
    <mergeCell ref="G67:L67"/>
    <mergeCell ref="A68:K68"/>
    <mergeCell ref="A69:A70"/>
    <mergeCell ref="B69:C70"/>
    <mergeCell ref="D69:D70"/>
    <mergeCell ref="E69:E70"/>
    <mergeCell ref="F69:G69"/>
    <mergeCell ref="H69:I69"/>
    <mergeCell ref="K69:K70"/>
    <mergeCell ref="B62:I62"/>
    <mergeCell ref="B63:I63"/>
    <mergeCell ref="B64:I64"/>
    <mergeCell ref="A66:F66"/>
    <mergeCell ref="G66:L66"/>
    <mergeCell ref="H65:K65"/>
    <mergeCell ref="G90:L90"/>
    <mergeCell ref="B87:I87"/>
    <mergeCell ref="B88:I88"/>
    <mergeCell ref="A90:F90"/>
    <mergeCell ref="H89:K89"/>
    <mergeCell ref="A91:F91"/>
    <mergeCell ref="G91:L91"/>
    <mergeCell ref="B110:I110"/>
    <mergeCell ref="B111:I111"/>
    <mergeCell ref="B112:I112"/>
    <mergeCell ref="A92:K92"/>
    <mergeCell ref="A93:A94"/>
    <mergeCell ref="B93:C94"/>
    <mergeCell ref="D93:D94"/>
    <mergeCell ref="E93:E94"/>
    <mergeCell ref="F93:G93"/>
    <mergeCell ref="H93:I93"/>
    <mergeCell ref="K93:K94"/>
  </mergeCells>
  <pageMargins left="0.39370078740157483" right="0.39370078740157483" top="0.39370078740157483" bottom="0.39370078740157483" header="0.39370078740157483" footer="0.39370078740157483"/>
  <pageSetup paperSize="9" scale="79" orientation="landscape" r:id="rId1"/>
  <rowBreaks count="4" manualBreakCount="4">
    <brk id="15" max="10" man="1"/>
    <brk id="40" max="10" man="1"/>
    <brk id="64" max="10" man="1"/>
    <brk id="8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75BCF-C370-4F33-9B03-C197AAFD28AC}">
  <dimension ref="A1:T32"/>
  <sheetViews>
    <sheetView tabSelected="1" workbookViewId="0">
      <selection activeCell="I1" sqref="A1:J24"/>
    </sheetView>
  </sheetViews>
  <sheetFormatPr defaultRowHeight="24" x14ac:dyDescent="0.2"/>
  <cols>
    <col min="1" max="1" width="8.7109375" style="455" customWidth="1"/>
    <col min="2" max="2" width="18.7109375" style="455" customWidth="1"/>
    <col min="3" max="3" width="8.7109375" style="455" customWidth="1"/>
    <col min="4" max="4" width="7" style="455" customWidth="1"/>
    <col min="5" max="6" width="9.7109375" style="455" customWidth="1"/>
    <col min="7" max="8" width="4.7109375" style="455" customWidth="1"/>
    <col min="9" max="9" width="18.7109375" style="455" customWidth="1"/>
    <col min="10" max="10" width="12.42578125" style="455" customWidth="1"/>
    <col min="11" max="11" width="17.5703125" style="455" customWidth="1"/>
    <col min="12" max="12" width="9.140625" style="455"/>
    <col min="13" max="13" width="17.7109375" style="455" customWidth="1"/>
    <col min="14" max="14" width="31" style="503" customWidth="1"/>
    <col min="15" max="15" width="9.140625" style="455"/>
    <col min="16" max="16" width="16.7109375" style="455" customWidth="1"/>
    <col min="17" max="17" width="25.85546875" style="503" customWidth="1"/>
    <col min="18" max="16384" width="9.140625" style="455"/>
  </cols>
  <sheetData>
    <row r="1" spans="1:20" x14ac:dyDescent="0.55000000000000004">
      <c r="I1" s="456"/>
      <c r="J1" s="457" t="s">
        <v>559</v>
      </c>
      <c r="L1" s="458"/>
      <c r="M1" s="459"/>
      <c r="N1" s="460"/>
      <c r="O1" s="458"/>
      <c r="P1" s="459"/>
      <c r="Q1" s="460"/>
      <c r="R1" s="458"/>
      <c r="S1" s="458"/>
      <c r="T1" s="458"/>
    </row>
    <row r="2" spans="1:20" s="461" customFormat="1" ht="33" x14ac:dyDescent="0.75">
      <c r="A2" s="549" t="s">
        <v>2</v>
      </c>
      <c r="B2" s="549"/>
      <c r="C2" s="549"/>
      <c r="D2" s="549"/>
      <c r="E2" s="549"/>
      <c r="F2" s="549"/>
      <c r="G2" s="549"/>
      <c r="H2" s="549"/>
      <c r="I2" s="549"/>
      <c r="J2" s="549"/>
      <c r="K2" s="455"/>
      <c r="L2" s="462"/>
      <c r="M2" s="463"/>
      <c r="N2" s="464"/>
      <c r="O2" s="462"/>
      <c r="P2" s="463"/>
      <c r="Q2" s="464"/>
      <c r="R2" s="462"/>
      <c r="S2" s="462"/>
      <c r="T2" s="462"/>
    </row>
    <row r="3" spans="1:20" x14ac:dyDescent="0.55000000000000004">
      <c r="A3" s="550" t="s">
        <v>562</v>
      </c>
      <c r="B3" s="550"/>
      <c r="C3" s="550"/>
      <c r="D3" s="550"/>
      <c r="E3" s="550"/>
      <c r="F3" s="550"/>
      <c r="G3" s="550"/>
      <c r="H3" s="550"/>
      <c r="I3" s="550"/>
      <c r="J3" s="550"/>
      <c r="L3" s="458"/>
      <c r="M3" s="465"/>
      <c r="N3" s="466"/>
      <c r="O3" s="458"/>
      <c r="P3" s="465"/>
      <c r="Q3" s="466"/>
      <c r="R3" s="458"/>
      <c r="S3" s="458"/>
      <c r="T3" s="458"/>
    </row>
    <row r="4" spans="1:20" x14ac:dyDescent="0.55000000000000004">
      <c r="A4" s="550" t="s">
        <v>564</v>
      </c>
      <c r="B4" s="550"/>
      <c r="C4" s="550"/>
      <c r="D4" s="550"/>
      <c r="E4" s="550"/>
      <c r="F4" s="550"/>
      <c r="G4" s="550"/>
      <c r="H4" s="550"/>
      <c r="I4" s="550"/>
      <c r="J4" s="550"/>
      <c r="L4" s="458"/>
      <c r="M4" s="465"/>
      <c r="N4" s="466"/>
      <c r="O4" s="458"/>
      <c r="P4" s="465"/>
      <c r="Q4" s="466"/>
      <c r="R4" s="458"/>
      <c r="S4" s="458"/>
      <c r="T4" s="458"/>
    </row>
    <row r="5" spans="1:20" x14ac:dyDescent="0.55000000000000004">
      <c r="A5" s="456" t="s">
        <v>17</v>
      </c>
      <c r="B5" s="456"/>
      <c r="C5" s="567" t="s">
        <v>549</v>
      </c>
      <c r="D5" s="567"/>
      <c r="E5" s="567"/>
      <c r="F5" s="567"/>
      <c r="G5" s="567"/>
      <c r="H5" s="567"/>
      <c r="I5" s="567"/>
      <c r="J5" s="456"/>
      <c r="L5" s="458"/>
      <c r="M5" s="465"/>
      <c r="N5" s="466"/>
      <c r="O5" s="458"/>
      <c r="P5" s="465"/>
      <c r="Q5" s="466"/>
      <c r="R5" s="458"/>
      <c r="S5" s="458"/>
      <c r="T5" s="458"/>
    </row>
    <row r="6" spans="1:20" x14ac:dyDescent="0.55000000000000004">
      <c r="A6" s="456" t="s">
        <v>588</v>
      </c>
      <c r="B6" s="456"/>
      <c r="C6" s="456"/>
      <c r="D6" s="456"/>
      <c r="E6" s="456"/>
      <c r="F6" s="456"/>
      <c r="G6" s="456"/>
      <c r="H6" s="456"/>
      <c r="I6" s="456"/>
      <c r="J6" s="456"/>
      <c r="L6" s="458"/>
      <c r="M6" s="465"/>
      <c r="N6" s="467"/>
      <c r="O6" s="458"/>
      <c r="P6" s="465"/>
      <c r="Q6" s="467"/>
      <c r="R6" s="458"/>
      <c r="S6" s="458"/>
      <c r="T6" s="458"/>
    </row>
    <row r="7" spans="1:20" x14ac:dyDescent="0.55000000000000004">
      <c r="A7" s="550" t="s">
        <v>565</v>
      </c>
      <c r="B7" s="550"/>
      <c r="C7" s="550"/>
      <c r="D7" s="550"/>
      <c r="E7" s="550"/>
      <c r="F7" s="550"/>
      <c r="G7" s="550"/>
      <c r="H7" s="550"/>
      <c r="I7" s="550"/>
      <c r="J7" s="550"/>
      <c r="L7" s="458"/>
      <c r="M7" s="465"/>
      <c r="N7" s="467"/>
      <c r="O7" s="458"/>
      <c r="P7" s="465"/>
      <c r="Q7" s="467"/>
      <c r="R7" s="458"/>
      <c r="S7" s="458"/>
      <c r="T7" s="458"/>
    </row>
    <row r="8" spans="1:20" s="458" customFormat="1" ht="24.75" thickBot="1" x14ac:dyDescent="0.6">
      <c r="A8" s="468" t="s">
        <v>563</v>
      </c>
      <c r="B8" s="468"/>
      <c r="C8" s="469"/>
      <c r="D8" s="468"/>
      <c r="E8" s="468"/>
      <c r="F8" s="468"/>
      <c r="G8" s="468"/>
      <c r="H8" s="468"/>
      <c r="I8" s="468"/>
      <c r="J8" s="468"/>
      <c r="K8" s="455"/>
    </row>
    <row r="9" spans="1:20" ht="24.75" thickBot="1" x14ac:dyDescent="0.6">
      <c r="A9" s="551" t="s">
        <v>3</v>
      </c>
      <c r="B9" s="551" t="s">
        <v>4</v>
      </c>
      <c r="C9" s="551"/>
      <c r="D9" s="552"/>
      <c r="E9" s="553"/>
      <c r="F9" s="554"/>
      <c r="G9" s="555"/>
      <c r="H9" s="551"/>
      <c r="I9" s="470" t="s">
        <v>7</v>
      </c>
      <c r="J9" s="555" t="s">
        <v>8</v>
      </c>
      <c r="L9" s="458"/>
      <c r="M9" s="465"/>
      <c r="N9" s="467"/>
      <c r="O9" s="458"/>
      <c r="P9" s="465"/>
      <c r="Q9" s="467"/>
      <c r="R9" s="458"/>
      <c r="S9" s="458"/>
      <c r="T9" s="458"/>
    </row>
    <row r="10" spans="1:20" ht="24.75" thickBot="1" x14ac:dyDescent="0.6">
      <c r="A10" s="551"/>
      <c r="B10" s="551"/>
      <c r="C10" s="551"/>
      <c r="D10" s="552"/>
      <c r="E10" s="585"/>
      <c r="F10" s="586"/>
      <c r="G10" s="555"/>
      <c r="H10" s="551"/>
      <c r="I10" s="471" t="s">
        <v>77</v>
      </c>
      <c r="J10" s="555"/>
      <c r="L10" s="458"/>
      <c r="M10" s="465"/>
      <c r="N10" s="467"/>
      <c r="O10" s="458"/>
      <c r="P10" s="465"/>
      <c r="Q10" s="467"/>
      <c r="R10" s="458"/>
      <c r="S10" s="458"/>
      <c r="T10" s="458"/>
    </row>
    <row r="11" spans="1:20" ht="24.75" thickBot="1" x14ac:dyDescent="0.6">
      <c r="A11" s="472">
        <v>1</v>
      </c>
      <c r="B11" s="473" t="s">
        <v>560</v>
      </c>
      <c r="C11" s="474"/>
      <c r="D11" s="474"/>
      <c r="E11" s="587"/>
      <c r="F11" s="588"/>
      <c r="G11" s="589"/>
      <c r="H11" s="590"/>
      <c r="I11" s="475">
        <v>34819000</v>
      </c>
      <c r="J11" s="476"/>
      <c r="L11" s="458"/>
      <c r="M11" s="477">
        <v>1.2261</v>
      </c>
      <c r="N11" s="467"/>
      <c r="O11" s="458"/>
      <c r="P11" s="465"/>
      <c r="Q11" s="467"/>
      <c r="R11" s="458"/>
      <c r="S11" s="458"/>
      <c r="T11" s="458"/>
    </row>
    <row r="12" spans="1:20" x14ac:dyDescent="0.55000000000000004">
      <c r="A12" s="478"/>
      <c r="B12" s="479"/>
      <c r="C12" s="480"/>
      <c r="D12" s="480"/>
      <c r="E12" s="547"/>
      <c r="F12" s="548"/>
      <c r="G12" s="545"/>
      <c r="H12" s="546"/>
      <c r="I12" s="481">
        <f>E12*G12</f>
        <v>0</v>
      </c>
      <c r="J12" s="482"/>
      <c r="L12" s="458"/>
      <c r="M12" s="465"/>
      <c r="N12" s="467"/>
      <c r="O12" s="458"/>
      <c r="P12" s="465"/>
      <c r="Q12" s="467"/>
      <c r="R12" s="458"/>
      <c r="S12" s="458"/>
      <c r="T12" s="458"/>
    </row>
    <row r="13" spans="1:20" x14ac:dyDescent="0.55000000000000004">
      <c r="A13" s="478"/>
      <c r="B13" s="479"/>
      <c r="C13" s="480"/>
      <c r="D13" s="480"/>
      <c r="E13" s="547"/>
      <c r="F13" s="548"/>
      <c r="G13" s="545"/>
      <c r="H13" s="546"/>
      <c r="I13" s="481">
        <f>E13*G13</f>
        <v>0</v>
      </c>
      <c r="J13" s="483"/>
      <c r="L13" s="458"/>
      <c r="M13" s="465"/>
      <c r="N13" s="467"/>
      <c r="O13" s="458"/>
      <c r="P13" s="465"/>
      <c r="Q13" s="467"/>
      <c r="R13" s="458"/>
      <c r="S13" s="458"/>
      <c r="T13" s="458"/>
    </row>
    <row r="14" spans="1:20" x14ac:dyDescent="0.55000000000000004">
      <c r="A14" s="478"/>
      <c r="B14" s="484"/>
      <c r="C14" s="480"/>
      <c r="D14" s="480"/>
      <c r="E14" s="571"/>
      <c r="F14" s="572"/>
      <c r="G14" s="573"/>
      <c r="H14" s="574"/>
      <c r="I14" s="481">
        <f>E14*G14</f>
        <v>0</v>
      </c>
      <c r="J14" s="483"/>
      <c r="L14" s="458"/>
      <c r="M14" s="465"/>
      <c r="N14" s="467"/>
      <c r="O14" s="458"/>
      <c r="P14" s="465"/>
      <c r="Q14" s="467"/>
      <c r="R14" s="458"/>
      <c r="S14" s="458"/>
      <c r="T14" s="458"/>
    </row>
    <row r="15" spans="1:20" x14ac:dyDescent="0.55000000000000004">
      <c r="A15" s="485"/>
      <c r="B15" s="486"/>
      <c r="C15" s="487"/>
      <c r="D15" s="487"/>
      <c r="E15" s="575"/>
      <c r="F15" s="576"/>
      <c r="G15" s="577"/>
      <c r="H15" s="578"/>
      <c r="I15" s="488"/>
      <c r="J15" s="489"/>
      <c r="L15" s="458"/>
      <c r="M15" s="458"/>
      <c r="N15" s="467"/>
      <c r="O15" s="458"/>
      <c r="P15" s="458"/>
      <c r="Q15" s="467"/>
      <c r="R15" s="458"/>
      <c r="S15" s="458"/>
      <c r="T15" s="458"/>
    </row>
    <row r="16" spans="1:20" x14ac:dyDescent="0.55000000000000004">
      <c r="A16" s="485"/>
      <c r="B16" s="579"/>
      <c r="C16" s="579"/>
      <c r="D16" s="580"/>
      <c r="E16" s="581"/>
      <c r="F16" s="582"/>
      <c r="G16" s="583"/>
      <c r="H16" s="584"/>
      <c r="I16" s="490"/>
      <c r="J16" s="490"/>
      <c r="L16" s="458"/>
      <c r="M16" s="458"/>
      <c r="N16" s="467"/>
      <c r="O16" s="458"/>
      <c r="P16" s="458"/>
      <c r="Q16" s="467"/>
      <c r="R16" s="458"/>
      <c r="S16" s="458"/>
      <c r="T16" s="458"/>
    </row>
    <row r="17" spans="1:20" x14ac:dyDescent="0.55000000000000004">
      <c r="A17" s="485"/>
      <c r="B17" s="491"/>
      <c r="C17" s="492"/>
      <c r="D17" s="493"/>
      <c r="E17" s="564"/>
      <c r="F17" s="565"/>
      <c r="G17" s="545"/>
      <c r="H17" s="546"/>
      <c r="I17" s="494"/>
      <c r="J17" s="495"/>
      <c r="L17" s="458"/>
      <c r="M17" s="458"/>
      <c r="N17" s="467"/>
      <c r="O17" s="458"/>
      <c r="P17" s="458"/>
      <c r="Q17" s="467"/>
      <c r="R17" s="458"/>
      <c r="S17" s="458"/>
      <c r="T17" s="458"/>
    </row>
    <row r="18" spans="1:20" x14ac:dyDescent="0.55000000000000004">
      <c r="A18" s="485"/>
      <c r="B18" s="491"/>
      <c r="C18" s="492"/>
      <c r="D18" s="493"/>
      <c r="E18" s="564"/>
      <c r="F18" s="565"/>
      <c r="G18" s="545"/>
      <c r="H18" s="546"/>
      <c r="I18" s="494"/>
      <c r="J18" s="495"/>
      <c r="L18" s="458"/>
      <c r="M18" s="458"/>
      <c r="N18" s="467"/>
      <c r="O18" s="458"/>
      <c r="P18" s="458"/>
      <c r="Q18" s="467"/>
      <c r="R18" s="458"/>
      <c r="S18" s="458"/>
      <c r="T18" s="458"/>
    </row>
    <row r="19" spans="1:20" x14ac:dyDescent="0.55000000000000004">
      <c r="A19" s="485"/>
      <c r="B19" s="491"/>
      <c r="C19" s="492"/>
      <c r="D19" s="493"/>
      <c r="E19" s="564"/>
      <c r="F19" s="565"/>
      <c r="G19" s="545"/>
      <c r="H19" s="546"/>
      <c r="I19" s="494"/>
      <c r="J19" s="495"/>
      <c r="L19" s="458"/>
      <c r="M19" s="458"/>
      <c r="N19" s="467"/>
      <c r="O19" s="458"/>
      <c r="P19" s="458"/>
      <c r="Q19" s="467"/>
      <c r="R19" s="458"/>
      <c r="S19" s="458"/>
      <c r="T19" s="458"/>
    </row>
    <row r="20" spans="1:20" ht="24.75" thickBot="1" x14ac:dyDescent="0.6">
      <c r="A20" s="485"/>
      <c r="B20" s="486"/>
      <c r="C20" s="487"/>
      <c r="D20" s="493"/>
      <c r="E20" s="568"/>
      <c r="F20" s="569"/>
      <c r="G20" s="570"/>
      <c r="H20" s="568"/>
      <c r="I20" s="494"/>
      <c r="J20" s="495"/>
      <c r="L20" s="458"/>
      <c r="M20" s="458"/>
      <c r="N20" s="467"/>
      <c r="O20" s="458"/>
      <c r="P20" s="458"/>
      <c r="Q20" s="467"/>
      <c r="R20" s="458"/>
      <c r="S20" s="458"/>
      <c r="T20" s="458"/>
    </row>
    <row r="21" spans="1:20" x14ac:dyDescent="0.55000000000000004">
      <c r="A21" s="556" t="s">
        <v>12</v>
      </c>
      <c r="B21" s="558" t="s">
        <v>13</v>
      </c>
      <c r="C21" s="559"/>
      <c r="D21" s="559"/>
      <c r="E21" s="559"/>
      <c r="F21" s="559"/>
      <c r="G21" s="559"/>
      <c r="H21" s="560"/>
      <c r="I21" s="496">
        <f>SUM(I11:I20)</f>
        <v>34819000</v>
      </c>
      <c r="J21" s="476"/>
      <c r="L21" s="458"/>
      <c r="M21" s="458"/>
      <c r="N21" s="467"/>
      <c r="O21" s="458"/>
      <c r="P21" s="458"/>
      <c r="Q21" s="467"/>
      <c r="R21" s="458"/>
      <c r="S21" s="458"/>
      <c r="T21" s="458"/>
    </row>
    <row r="22" spans="1:20" ht="24.75" thickBot="1" x14ac:dyDescent="0.6">
      <c r="A22" s="557"/>
      <c r="B22" s="497" t="s">
        <v>1</v>
      </c>
      <c r="C22" s="561" t="str">
        <f>BAHTTEXT(I22)</f>
        <v>สามสิบสี่ล้านแปดแสนหนึ่งหมื่นเก้าพันบาทถ้วน</v>
      </c>
      <c r="D22" s="561"/>
      <c r="E22" s="561"/>
      <c r="F22" s="561"/>
      <c r="G22" s="561"/>
      <c r="H22" s="562"/>
      <c r="I22" s="475">
        <v>34819000</v>
      </c>
      <c r="J22" s="498"/>
      <c r="L22" s="458"/>
      <c r="M22" s="458"/>
      <c r="N22" s="467"/>
      <c r="O22" s="458"/>
      <c r="P22" s="458"/>
      <c r="Q22" s="467"/>
      <c r="R22" s="458"/>
      <c r="S22" s="458"/>
      <c r="T22" s="458"/>
    </row>
    <row r="23" spans="1:20" x14ac:dyDescent="0.55000000000000004">
      <c r="A23" s="499"/>
      <c r="B23" s="500" t="s">
        <v>14</v>
      </c>
      <c r="C23" s="563">
        <v>2650</v>
      </c>
      <c r="D23" s="563"/>
      <c r="E23" s="563"/>
      <c r="F23" s="500" t="s">
        <v>81</v>
      </c>
      <c r="G23" s="500"/>
      <c r="H23" s="500"/>
      <c r="I23" s="500"/>
      <c r="J23" s="476"/>
      <c r="L23" s="458"/>
      <c r="M23" s="458"/>
      <c r="N23" s="467"/>
      <c r="O23" s="458"/>
      <c r="P23" s="458"/>
      <c r="Q23" s="467"/>
      <c r="R23" s="458"/>
      <c r="S23" s="458"/>
      <c r="T23" s="458"/>
    </row>
    <row r="24" spans="1:20" ht="24.75" thickBot="1" x14ac:dyDescent="0.6">
      <c r="A24" s="501" t="s">
        <v>15</v>
      </c>
      <c r="B24" s="502" t="s">
        <v>16</v>
      </c>
      <c r="C24" s="566">
        <f>I11/C23</f>
        <v>13139.245283018869</v>
      </c>
      <c r="D24" s="566"/>
      <c r="E24" s="566"/>
      <c r="F24" s="502" t="s">
        <v>82</v>
      </c>
      <c r="G24" s="502"/>
      <c r="H24" s="502"/>
      <c r="I24" s="502"/>
      <c r="J24" s="498"/>
      <c r="L24" s="458"/>
      <c r="M24" s="465"/>
      <c r="N24" s="467"/>
      <c r="O24" s="458"/>
      <c r="P24" s="465"/>
      <c r="Q24" s="467"/>
      <c r="R24" s="458"/>
      <c r="S24" s="458"/>
      <c r="T24" s="458"/>
    </row>
    <row r="27" spans="1:20" x14ac:dyDescent="0.2">
      <c r="F27" s="567"/>
      <c r="G27" s="567"/>
      <c r="H27" s="567"/>
    </row>
    <row r="29" spans="1:20" x14ac:dyDescent="0.2">
      <c r="I29" s="504"/>
    </row>
    <row r="32" spans="1:20" x14ac:dyDescent="0.2">
      <c r="A32" s="505"/>
    </row>
  </sheetData>
  <mergeCells count="38">
    <mergeCell ref="C24:E24"/>
    <mergeCell ref="F27:H27"/>
    <mergeCell ref="C5:I5"/>
    <mergeCell ref="E20:F20"/>
    <mergeCell ref="G20:H20"/>
    <mergeCell ref="E14:F14"/>
    <mergeCell ref="G14:H14"/>
    <mergeCell ref="E15:F15"/>
    <mergeCell ref="G15:H15"/>
    <mergeCell ref="B16:D16"/>
    <mergeCell ref="E16:F16"/>
    <mergeCell ref="G16:H16"/>
    <mergeCell ref="E10:F10"/>
    <mergeCell ref="E11:F11"/>
    <mergeCell ref="G11:H11"/>
    <mergeCell ref="E12:F12"/>
    <mergeCell ref="A21:A22"/>
    <mergeCell ref="B21:H21"/>
    <mergeCell ref="C22:H22"/>
    <mergeCell ref="C23:E23"/>
    <mergeCell ref="E17:F17"/>
    <mergeCell ref="G17:H17"/>
    <mergeCell ref="E18:F18"/>
    <mergeCell ref="G18:H18"/>
    <mergeCell ref="E19:F19"/>
    <mergeCell ref="G19:H19"/>
    <mergeCell ref="G12:H12"/>
    <mergeCell ref="E13:F13"/>
    <mergeCell ref="G13:H13"/>
    <mergeCell ref="A2:J2"/>
    <mergeCell ref="A3:J3"/>
    <mergeCell ref="A4:J4"/>
    <mergeCell ref="A7:J7"/>
    <mergeCell ref="A9:A10"/>
    <mergeCell ref="B9:D10"/>
    <mergeCell ref="E9:F9"/>
    <mergeCell ref="G9:H10"/>
    <mergeCell ref="J9:J10"/>
  </mergeCells>
  <pageMargins left="0.7" right="0.7" top="0.75" bottom="0.75" header="0.3" footer="0.3"/>
  <pageSetup paperSize="9" scale="85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FB24-711E-4F36-91CE-52494AB69C46}">
  <dimension ref="A1:K26"/>
  <sheetViews>
    <sheetView topLeftCell="A40" zoomScale="115" zoomScaleNormal="115" zoomScaleSheetLayoutView="115" workbookViewId="0">
      <selection activeCell="F9" sqref="F9"/>
    </sheetView>
  </sheetViews>
  <sheetFormatPr defaultColWidth="9.140625" defaultRowHeight="24.95" customHeight="1" x14ac:dyDescent="0.2"/>
  <cols>
    <col min="1" max="2" width="10.7109375" style="16" customWidth="1"/>
    <col min="3" max="3" width="46.28515625" style="16" customWidth="1"/>
    <col min="4" max="4" width="10.7109375" style="37" customWidth="1"/>
    <col min="5" max="5" width="8.7109375" style="16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5.7109375" style="16" customWidth="1"/>
    <col min="12" max="16384" width="9.140625" style="16"/>
  </cols>
  <sheetData>
    <row r="1" spans="1:11" s="6" customFormat="1" ht="24.95" customHeight="1" x14ac:dyDescent="0.2">
      <c r="A1" s="6" t="s">
        <v>126</v>
      </c>
      <c r="C1" s="16" t="s">
        <v>569</v>
      </c>
      <c r="J1" s="37" t="s">
        <v>157</v>
      </c>
      <c r="K1" s="88">
        <v>1</v>
      </c>
    </row>
    <row r="2" spans="1:11" s="6" customFormat="1" ht="24.95" customHeight="1" x14ac:dyDescent="0.2">
      <c r="A2" s="6" t="s">
        <v>17</v>
      </c>
      <c r="C2" s="16" t="str">
        <f>สรุปงานโครงการ!C6</f>
        <v>บก.ตชก.ภาค 2 ถ.หลังศูนย์ราชการ ต.ในเมือง อ.เมือง จ.ขอนแก่น</v>
      </c>
      <c r="G2" s="6" t="s">
        <v>127</v>
      </c>
      <c r="H2" s="16" t="s">
        <v>568</v>
      </c>
      <c r="I2" s="16"/>
    </row>
    <row r="3" spans="1:11" s="38" customFormat="1" ht="24.95" customHeight="1" x14ac:dyDescent="0.5">
      <c r="A3" s="6" t="s">
        <v>0</v>
      </c>
      <c r="B3" s="6"/>
      <c r="C3" s="88" t="s">
        <v>570</v>
      </c>
      <c r="D3" s="6"/>
      <c r="E3" s="6"/>
      <c r="F3" s="6"/>
      <c r="G3" s="6" t="s">
        <v>551</v>
      </c>
      <c r="H3" s="109"/>
      <c r="I3" s="6"/>
      <c r="J3" s="6"/>
      <c r="K3" s="6"/>
    </row>
    <row r="4" spans="1:11" s="38" customFormat="1" ht="24.95" customHeight="1" thickBot="1" x14ac:dyDescent="0.55000000000000004">
      <c r="A4" s="87" t="s">
        <v>125</v>
      </c>
      <c r="B4" s="87"/>
      <c r="C4" s="89"/>
      <c r="D4" s="87"/>
      <c r="E4" s="87"/>
      <c r="F4" s="87"/>
      <c r="G4" s="87"/>
      <c r="H4" s="87"/>
      <c r="I4" s="87"/>
      <c r="J4" s="87"/>
    </row>
    <row r="5" spans="1:11" s="6" customFormat="1" ht="24.95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1" s="6" customFormat="1" ht="24.95" customHeight="1" x14ac:dyDescent="0.2">
      <c r="A6" s="522"/>
      <c r="B6" s="522"/>
      <c r="C6" s="522"/>
      <c r="D6" s="522"/>
      <c r="E6" s="600"/>
      <c r="F6" s="1" t="s">
        <v>23</v>
      </c>
      <c r="G6" s="40" t="s">
        <v>24</v>
      </c>
      <c r="H6" s="1" t="s">
        <v>23</v>
      </c>
      <c r="I6" s="1" t="s">
        <v>24</v>
      </c>
      <c r="J6" s="41" t="s">
        <v>25</v>
      </c>
      <c r="K6" s="540"/>
    </row>
    <row r="7" spans="1:11" ht="24.95" customHeight="1" x14ac:dyDescent="0.2">
      <c r="A7" s="42"/>
      <c r="B7" s="528" t="s">
        <v>83</v>
      </c>
      <c r="C7" s="528"/>
      <c r="D7" s="42"/>
      <c r="E7" s="43"/>
      <c r="F7" s="44"/>
      <c r="G7" s="45"/>
      <c r="H7" s="44"/>
      <c r="I7" s="44"/>
      <c r="J7" s="44"/>
      <c r="K7" s="46"/>
    </row>
    <row r="8" spans="1:11" ht="24.95" customHeight="1" x14ac:dyDescent="0.2">
      <c r="A8" s="42"/>
      <c r="B8" s="591" t="s">
        <v>525</v>
      </c>
      <c r="C8" s="592"/>
      <c r="D8" s="42"/>
      <c r="E8" s="43"/>
      <c r="F8" s="44"/>
      <c r="G8" s="45"/>
      <c r="H8" s="44"/>
      <c r="I8" s="44"/>
      <c r="J8" s="44"/>
      <c r="K8" s="46"/>
    </row>
    <row r="9" spans="1:11" ht="24.95" customHeight="1" x14ac:dyDescent="0.2">
      <c r="A9" s="25">
        <v>1</v>
      </c>
      <c r="B9" s="47" t="s">
        <v>84</v>
      </c>
      <c r="C9" s="48"/>
      <c r="D9" s="42"/>
      <c r="E9" s="43"/>
      <c r="F9" s="44"/>
      <c r="G9" s="45"/>
      <c r="H9" s="44"/>
      <c r="I9" s="44"/>
      <c r="J9" s="49">
        <f>'1.โครงสร้าง'!J26</f>
        <v>6547863.085092321</v>
      </c>
      <c r="K9" s="50"/>
    </row>
    <row r="10" spans="1:11" ht="24.95" customHeight="1" x14ac:dyDescent="0.2">
      <c r="A10" s="25">
        <v>2</v>
      </c>
      <c r="B10" s="47" t="s">
        <v>29</v>
      </c>
      <c r="C10" s="48"/>
      <c r="D10" s="42"/>
      <c r="E10" s="43"/>
      <c r="F10" s="44"/>
      <c r="G10" s="45"/>
      <c r="H10" s="44"/>
      <c r="I10" s="44"/>
      <c r="J10" s="49">
        <f>'2.สถาปัตย์'!J24</f>
        <v>9075726.7400000002</v>
      </c>
      <c r="K10" s="50"/>
    </row>
    <row r="11" spans="1:11" ht="24.95" customHeight="1" x14ac:dyDescent="0.2">
      <c r="A11" s="25">
        <v>3</v>
      </c>
      <c r="B11" s="47" t="s">
        <v>369</v>
      </c>
      <c r="C11" s="48"/>
      <c r="D11" s="42"/>
      <c r="E11" s="43"/>
      <c r="F11" s="44"/>
      <c r="G11" s="45"/>
      <c r="H11" s="44"/>
      <c r="I11" s="44"/>
      <c r="J11" s="49">
        <f>'3.ประปา'!J49</f>
        <v>1063330</v>
      </c>
      <c r="K11" s="50"/>
    </row>
    <row r="12" spans="1:11" ht="24.95" customHeight="1" x14ac:dyDescent="0.2">
      <c r="A12" s="25">
        <v>4</v>
      </c>
      <c r="B12" s="47" t="s">
        <v>370</v>
      </c>
      <c r="C12" s="48"/>
      <c r="D12" s="42"/>
      <c r="E12" s="43"/>
      <c r="F12" s="44"/>
      <c r="G12" s="45"/>
      <c r="H12" s="44"/>
      <c r="I12" s="44"/>
      <c r="J12" s="49">
        <f>'4.ไฟฟ้า'!J50</f>
        <v>1328936</v>
      </c>
      <c r="K12" s="50"/>
    </row>
    <row r="13" spans="1:11" ht="24.95" customHeight="1" x14ac:dyDescent="0.2">
      <c r="A13" s="25">
        <v>5</v>
      </c>
      <c r="B13" s="51" t="s">
        <v>371</v>
      </c>
      <c r="C13" s="27"/>
      <c r="D13" s="25"/>
      <c r="E13" s="25"/>
      <c r="F13" s="49"/>
      <c r="G13" s="49"/>
      <c r="H13" s="49"/>
      <c r="I13" s="49"/>
      <c r="J13" s="49">
        <f>'5.ถังน้ำบนดิน'!J50</f>
        <v>314397.44682999997</v>
      </c>
      <c r="K13" s="52"/>
    </row>
    <row r="14" spans="1:11" ht="24.95" customHeight="1" x14ac:dyDescent="0.2">
      <c r="A14" s="42">
        <v>6</v>
      </c>
      <c r="B14" s="47" t="s">
        <v>368</v>
      </c>
      <c r="C14" s="47"/>
      <c r="D14" s="42"/>
      <c r="E14" s="43"/>
      <c r="F14" s="44"/>
      <c r="G14" s="45"/>
      <c r="H14" s="44"/>
      <c r="I14" s="44"/>
      <c r="J14" s="44">
        <f>'6.ฐานรากมีเข็ม'!J28</f>
        <v>2901914.0478277905</v>
      </c>
      <c r="K14" s="50"/>
    </row>
    <row r="15" spans="1:11" ht="24.95" customHeight="1" x14ac:dyDescent="0.5">
      <c r="A15" s="25"/>
      <c r="B15" s="53"/>
      <c r="C15" s="23" t="s">
        <v>526</v>
      </c>
      <c r="D15" s="25"/>
      <c r="E15" s="25"/>
      <c r="F15" s="262"/>
      <c r="G15" s="262"/>
      <c r="H15" s="262"/>
      <c r="I15" s="262"/>
      <c r="J15" s="430">
        <f>SUM(J9:J14)</f>
        <v>21232167.319750115</v>
      </c>
      <c r="K15" s="50"/>
    </row>
    <row r="16" spans="1:11" ht="24.95" customHeight="1" x14ac:dyDescent="0.5">
      <c r="A16" s="25"/>
      <c r="B16" s="53"/>
      <c r="C16" s="23"/>
      <c r="D16" s="25"/>
      <c r="E16" s="25"/>
      <c r="F16" s="262"/>
      <c r="G16" s="262"/>
      <c r="H16" s="262"/>
      <c r="I16" s="262"/>
      <c r="J16" s="431"/>
      <c r="K16" s="50"/>
    </row>
    <row r="17" spans="1:11" ht="24.95" customHeight="1" x14ac:dyDescent="0.2">
      <c r="A17" s="25"/>
      <c r="B17" s="591" t="s">
        <v>523</v>
      </c>
      <c r="C17" s="592"/>
      <c r="D17" s="25"/>
      <c r="E17" s="25"/>
      <c r="F17" s="262"/>
      <c r="G17" s="262"/>
      <c r="H17" s="262"/>
      <c r="I17" s="262"/>
      <c r="J17" s="240"/>
      <c r="K17" s="50"/>
    </row>
    <row r="18" spans="1:11" ht="24.95" customHeight="1" x14ac:dyDescent="0.5">
      <c r="A18" s="25">
        <v>7</v>
      </c>
      <c r="B18" s="53" t="s">
        <v>372</v>
      </c>
      <c r="C18" s="27"/>
      <c r="D18" s="25"/>
      <c r="E18" s="25"/>
      <c r="F18" s="262"/>
      <c r="G18" s="262"/>
      <c r="H18" s="262"/>
      <c r="I18" s="262"/>
      <c r="J18" s="234">
        <f>'7.บริเวณ'!J25</f>
        <v>3115740</v>
      </c>
      <c r="K18" s="50"/>
    </row>
    <row r="19" spans="1:11" ht="24.95" customHeight="1" x14ac:dyDescent="0.5">
      <c r="A19" s="25">
        <v>8</v>
      </c>
      <c r="B19" s="53" t="s">
        <v>508</v>
      </c>
      <c r="C19" s="27"/>
      <c r="D19" s="25"/>
      <c r="E19" s="25"/>
      <c r="F19" s="262"/>
      <c r="G19" s="262"/>
      <c r="H19" s="262"/>
      <c r="I19" s="262"/>
      <c r="J19" s="234">
        <f>'8.งานถนนเข้าที่พัก'!I14</f>
        <v>1826321</v>
      </c>
      <c r="K19" s="263"/>
    </row>
    <row r="20" spans="1:11" ht="24.95" customHeight="1" x14ac:dyDescent="0.2">
      <c r="A20" s="42"/>
      <c r="B20" s="47"/>
      <c r="C20" s="23" t="s">
        <v>524</v>
      </c>
      <c r="D20" s="42"/>
      <c r="E20" s="43"/>
      <c r="F20" s="44"/>
      <c r="G20" s="45"/>
      <c r="H20" s="44"/>
      <c r="I20" s="44"/>
      <c r="J20" s="430">
        <f>SUM(J18:J19)</f>
        <v>4942061</v>
      </c>
      <c r="K20" s="50"/>
    </row>
    <row r="21" spans="1:11" ht="24.95" customHeight="1" thickBot="1" x14ac:dyDescent="0.25">
      <c r="A21" s="42"/>
      <c r="B21" s="47"/>
      <c r="C21" s="47"/>
      <c r="D21" s="42"/>
      <c r="E21" s="43"/>
      <c r="F21" s="44"/>
      <c r="G21" s="45"/>
      <c r="H21" s="44"/>
      <c r="I21" s="44"/>
      <c r="J21" s="44"/>
      <c r="K21" s="50"/>
    </row>
    <row r="22" spans="1:11" ht="24.95" customHeight="1" thickBot="1" x14ac:dyDescent="0.25">
      <c r="A22" s="130"/>
      <c r="B22" s="594" t="s">
        <v>373</v>
      </c>
      <c r="C22" s="595"/>
      <c r="D22" s="595"/>
      <c r="E22" s="595"/>
      <c r="F22" s="595"/>
      <c r="G22" s="595"/>
      <c r="H22" s="595"/>
      <c r="I22" s="596"/>
      <c r="J22" s="264">
        <f>J20+J15</f>
        <v>26174228.319750115</v>
      </c>
      <c r="K22" s="78"/>
    </row>
    <row r="23" spans="1:11" ht="24.95" customHeight="1" x14ac:dyDescent="0.2">
      <c r="A23" s="25"/>
      <c r="B23" s="598" t="s">
        <v>439</v>
      </c>
      <c r="C23" s="599"/>
      <c r="D23" s="25"/>
      <c r="E23" s="55"/>
      <c r="F23" s="49"/>
      <c r="G23" s="56"/>
      <c r="H23" s="49"/>
      <c r="I23" s="49"/>
      <c r="J23" s="49"/>
      <c r="K23" s="57"/>
    </row>
    <row r="24" spans="1:11" ht="24.95" customHeight="1" x14ac:dyDescent="0.2">
      <c r="A24" s="25">
        <v>1</v>
      </c>
      <c r="B24" s="54" t="s">
        <v>522</v>
      </c>
      <c r="C24" s="29"/>
      <c r="D24" s="25"/>
      <c r="E24" s="55"/>
      <c r="F24" s="49"/>
      <c r="G24" s="56"/>
      <c r="H24" s="49"/>
      <c r="I24" s="49"/>
      <c r="J24" s="49">
        <f>'9.ครุภัณฑ์ทั่วไป'!J23</f>
        <v>2549000</v>
      </c>
      <c r="K24" s="57"/>
    </row>
    <row r="25" spans="1:11" ht="24.95" customHeight="1" thickBot="1" x14ac:dyDescent="0.25">
      <c r="A25" s="25"/>
      <c r="B25" s="54"/>
      <c r="C25" s="29"/>
      <c r="D25" s="25"/>
      <c r="E25" s="55"/>
      <c r="F25" s="49"/>
      <c r="G25" s="56"/>
      <c r="H25" s="49"/>
      <c r="I25" s="49"/>
      <c r="J25" s="278"/>
      <c r="K25" s="57"/>
    </row>
    <row r="26" spans="1:11" ht="24.95" customHeight="1" thickBot="1" x14ac:dyDescent="0.25">
      <c r="A26" s="279"/>
      <c r="B26" s="594" t="s">
        <v>440</v>
      </c>
      <c r="C26" s="595"/>
      <c r="D26" s="595"/>
      <c r="E26" s="595"/>
      <c r="F26" s="595"/>
      <c r="G26" s="595"/>
      <c r="H26" s="595"/>
      <c r="I26" s="597"/>
      <c r="J26" s="264">
        <f>SUM(J23:J25)</f>
        <v>2549000</v>
      </c>
      <c r="K26" s="78"/>
    </row>
  </sheetData>
  <mergeCells count="13">
    <mergeCell ref="H5:I5"/>
    <mergeCell ref="K5:K6"/>
    <mergeCell ref="B22:I22"/>
    <mergeCell ref="B26:I26"/>
    <mergeCell ref="B23:C23"/>
    <mergeCell ref="B7:C7"/>
    <mergeCell ref="E5:E6"/>
    <mergeCell ref="B17:C17"/>
    <mergeCell ref="A5:A6"/>
    <mergeCell ref="B5:C6"/>
    <mergeCell ref="B8:C8"/>
    <mergeCell ref="D5:D6"/>
    <mergeCell ref="F5:G5"/>
  </mergeCells>
  <phoneticPr fontId="0" type="noConversion"/>
  <printOptions horizontalCentered="1" verticalCentered="1"/>
  <pageMargins left="0.47244094488188981" right="0.47244094488188981" top="0.39370078740157483" bottom="0.27559055118110237" header="0.51181102362204722" footer="0.51181102362204722"/>
  <pageSetup paperSize="9" scale="75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2937-D5B9-459D-ABA3-2B798CFE38AF}">
  <dimension ref="A1:L26"/>
  <sheetViews>
    <sheetView zoomScale="80" zoomScaleNormal="80" zoomScaleSheetLayoutView="115" workbookViewId="0">
      <selection activeCell="P16" sqref="P16"/>
    </sheetView>
  </sheetViews>
  <sheetFormatPr defaultColWidth="9.140625" defaultRowHeight="26.1" customHeight="1" x14ac:dyDescent="0.2"/>
  <cols>
    <col min="1" max="2" width="10.7109375" style="447" customWidth="1"/>
    <col min="3" max="3" width="55.7109375" style="447" customWidth="1"/>
    <col min="4" max="4" width="12.7109375" style="437" customWidth="1"/>
    <col min="5" max="5" width="8.7109375" style="447" customWidth="1"/>
    <col min="6" max="6" width="13.7109375" style="34" customWidth="1"/>
    <col min="7" max="7" width="14.7109375" style="34" customWidth="1"/>
    <col min="8" max="8" width="13.7109375" style="34" customWidth="1"/>
    <col min="9" max="9" width="14.7109375" style="34" customWidth="1"/>
    <col min="10" max="10" width="15.7109375" style="34" customWidth="1"/>
    <col min="11" max="11" width="13.7109375" style="447" customWidth="1"/>
    <col min="12" max="16384" width="9.140625" style="447"/>
  </cols>
  <sheetData>
    <row r="1" spans="1:11" s="6" customFormat="1" ht="26.1" customHeight="1" x14ac:dyDescent="0.2">
      <c r="A1" s="6" t="str">
        <f>รวมราคา!A1</f>
        <v xml:space="preserve">ประมาณราคาค่าก่อสร้าง </v>
      </c>
      <c r="C1" s="88" t="str">
        <f>รวมราคา!C1</f>
        <v>อาคารที่พักอาศัย (แฟลต) จำนวน 40 ครอบครัว สูง 5 ชั้น (ใต้ถุนโล่ง)</v>
      </c>
      <c r="J1" s="447" t="str">
        <f>รวมราคา!J1</f>
        <v>แบบ ปร.4   แผ่นที่</v>
      </c>
      <c r="K1" s="88">
        <v>2</v>
      </c>
    </row>
    <row r="2" spans="1:11" s="6" customFormat="1" ht="26.1" customHeight="1" x14ac:dyDescent="0.2">
      <c r="A2" s="6" t="str">
        <f>รวมราคา!A2</f>
        <v xml:space="preserve">สถานที่ก่อสร้าง  </v>
      </c>
      <c r="C2" s="447" t="str">
        <f>รวมราคา!C2</f>
        <v>บก.ตชก.ภาค 2 ถ.หลังศูนย์ราชการ ต.ในเมือง อ.เมือง จ.ขอนแก่น</v>
      </c>
      <c r="G2" s="6" t="str">
        <f>รวมราคา!G2</f>
        <v xml:space="preserve">แบบเลขที่ </v>
      </c>
      <c r="H2" s="447" t="str">
        <f>รวมราคา!H2</f>
        <v>ตร.10817/60</v>
      </c>
    </row>
    <row r="3" spans="1:11" s="6" customFormat="1" ht="26.1" customHeight="1" x14ac:dyDescent="0.2">
      <c r="A3" s="6" t="str">
        <f>รวมราคา!A3</f>
        <v xml:space="preserve">ฝ่ายประมาณราคา   </v>
      </c>
      <c r="C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3" s="6" t="str">
        <f>รวมราคา!G3</f>
        <v>กำหนดราคากลางเมื่อ</v>
      </c>
      <c r="H3" s="447"/>
    </row>
    <row r="4" spans="1:11" s="6" customFormat="1" ht="26.1" customHeight="1" thickBot="1" x14ac:dyDescent="0.25">
      <c r="A4" s="87" t="str">
        <f>รวมราคา!A4</f>
        <v xml:space="preserve">ประมาณราคาโดย  </v>
      </c>
      <c r="B4" s="87"/>
      <c r="C4" s="89"/>
      <c r="D4" s="87"/>
      <c r="E4" s="87"/>
      <c r="F4" s="87"/>
      <c r="G4" s="87"/>
      <c r="H4" s="87"/>
      <c r="I4" s="87"/>
      <c r="J4" s="87"/>
    </row>
    <row r="5" spans="1:11" s="6" customFormat="1" ht="26.1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1" s="6" customFormat="1" ht="26.1" customHeight="1" x14ac:dyDescent="0.2">
      <c r="A6" s="522"/>
      <c r="B6" s="522"/>
      <c r="C6" s="522"/>
      <c r="D6" s="522"/>
      <c r="E6" s="600"/>
      <c r="F6" s="441" t="s">
        <v>23</v>
      </c>
      <c r="G6" s="40" t="s">
        <v>24</v>
      </c>
      <c r="H6" s="441" t="s">
        <v>23</v>
      </c>
      <c r="I6" s="441" t="s">
        <v>24</v>
      </c>
      <c r="J6" s="41" t="s">
        <v>25</v>
      </c>
      <c r="K6" s="540"/>
    </row>
    <row r="7" spans="1:11" s="6" customFormat="1" ht="26.1" customHeight="1" x14ac:dyDescent="0.2">
      <c r="A7" s="20">
        <v>1</v>
      </c>
      <c r="B7" s="221" t="s">
        <v>84</v>
      </c>
      <c r="C7" s="221"/>
      <c r="D7" s="24"/>
      <c r="E7" s="222"/>
      <c r="F7" s="24"/>
      <c r="G7" s="223"/>
      <c r="H7" s="24"/>
      <c r="I7" s="24"/>
      <c r="J7" s="24"/>
      <c r="K7" s="224"/>
    </row>
    <row r="8" spans="1:11" ht="26.1" customHeight="1" x14ac:dyDescent="0.2">
      <c r="A8" s="42"/>
      <c r="B8" s="43">
        <v>1.1000000000000001</v>
      </c>
      <c r="C8" s="48" t="s">
        <v>458</v>
      </c>
      <c r="D8" s="44">
        <v>1255</v>
      </c>
      <c r="E8" s="43" t="s">
        <v>40</v>
      </c>
      <c r="F8" s="44">
        <v>295</v>
      </c>
      <c r="G8" s="45">
        <f>D8*F8</f>
        <v>370225</v>
      </c>
      <c r="H8" s="44">
        <v>25</v>
      </c>
      <c r="I8" s="44">
        <f>D8*H8</f>
        <v>31375</v>
      </c>
      <c r="J8" s="44">
        <f>G8+I8</f>
        <v>401600</v>
      </c>
      <c r="K8" s="50"/>
    </row>
    <row r="9" spans="1:11" ht="26.1" customHeight="1" x14ac:dyDescent="0.2">
      <c r="A9" s="42"/>
      <c r="B9" s="43">
        <v>1.2</v>
      </c>
      <c r="C9" s="48" t="s">
        <v>244</v>
      </c>
      <c r="D9" s="44">
        <v>125.5</v>
      </c>
      <c r="E9" s="43" t="s">
        <v>72</v>
      </c>
      <c r="F9" s="44">
        <f>วัสดุ!B1</f>
        <v>2187.38</v>
      </c>
      <c r="G9" s="45">
        <f>D9*F9</f>
        <v>274516.19</v>
      </c>
      <c r="H9" s="44">
        <v>519</v>
      </c>
      <c r="I9" s="44">
        <f>D9*H9</f>
        <v>65134.5</v>
      </c>
      <c r="J9" s="44">
        <f>G9+I9</f>
        <v>339650.69</v>
      </c>
      <c r="K9" s="50"/>
    </row>
    <row r="10" spans="1:11" ht="26.1" customHeight="1" x14ac:dyDescent="0.2">
      <c r="A10" s="42"/>
      <c r="B10" s="43">
        <v>1.3</v>
      </c>
      <c r="C10" s="48" t="s">
        <v>243</v>
      </c>
      <c r="D10" s="44">
        <f>(447.27+16.95)*1.07</f>
        <v>496.71539999999999</v>
      </c>
      <c r="E10" s="43" t="s">
        <v>72</v>
      </c>
      <c r="F10" s="44">
        <f>วัสดุ!B1</f>
        <v>2187.38</v>
      </c>
      <c r="G10" s="45">
        <f>D10*F10</f>
        <v>1086505.3316520001</v>
      </c>
      <c r="H10" s="44">
        <v>519</v>
      </c>
      <c r="I10" s="44">
        <f>D10*H10</f>
        <v>257795.29259999999</v>
      </c>
      <c r="J10" s="44">
        <f>G10+I10</f>
        <v>1344300.6242520001</v>
      </c>
      <c r="K10" s="50"/>
    </row>
    <row r="11" spans="1:11" ht="26.1" customHeight="1" x14ac:dyDescent="0.2">
      <c r="A11" s="42"/>
      <c r="B11" s="43">
        <v>1.4</v>
      </c>
      <c r="C11" s="48" t="s">
        <v>174</v>
      </c>
      <c r="D11" s="44"/>
      <c r="E11" s="43"/>
      <c r="F11" s="44"/>
      <c r="G11" s="45"/>
      <c r="H11" s="44"/>
      <c r="I11" s="44"/>
      <c r="J11" s="44"/>
      <c r="K11" s="50"/>
    </row>
    <row r="12" spans="1:11" ht="26.1" customHeight="1" x14ac:dyDescent="0.2">
      <c r="A12" s="42"/>
      <c r="B12" s="43" t="s">
        <v>159</v>
      </c>
      <c r="C12" s="48" t="s">
        <v>233</v>
      </c>
      <c r="D12" s="44">
        <f>10221.99*1.05</f>
        <v>10733.0895</v>
      </c>
      <c r="E12" s="43" t="s">
        <v>85</v>
      </c>
      <c r="F12" s="44">
        <f>วัสดุ!B3</f>
        <v>22.19</v>
      </c>
      <c r="G12" s="45">
        <f>D12*F12</f>
        <v>238167.256005</v>
      </c>
      <c r="H12" s="44">
        <v>4.4000000000000004</v>
      </c>
      <c r="I12" s="44">
        <f>D12*H12</f>
        <v>47225.593800000002</v>
      </c>
      <c r="J12" s="44">
        <f>G12+I12</f>
        <v>285392.84980500001</v>
      </c>
      <c r="K12" s="50"/>
    </row>
    <row r="13" spans="1:11" ht="26.1" customHeight="1" x14ac:dyDescent="0.2">
      <c r="A13" s="42"/>
      <c r="B13" s="43" t="s">
        <v>159</v>
      </c>
      <c r="C13" s="47" t="s">
        <v>234</v>
      </c>
      <c r="D13" s="44">
        <f>(17812.28+503.39)*1.07</f>
        <v>19597.766899999999</v>
      </c>
      <c r="E13" s="43" t="s">
        <v>85</v>
      </c>
      <c r="F13" s="44">
        <f>วัสดุ!B4</f>
        <v>21.22</v>
      </c>
      <c r="G13" s="45">
        <f>D13*F13</f>
        <v>415864.61361799994</v>
      </c>
      <c r="H13" s="44">
        <v>4.4000000000000004</v>
      </c>
      <c r="I13" s="44">
        <f>D13*H13</f>
        <v>86230.174360000005</v>
      </c>
      <c r="J13" s="44">
        <f>G13+I13</f>
        <v>502094.78797799995</v>
      </c>
      <c r="K13" s="50"/>
    </row>
    <row r="14" spans="1:11" ht="26.1" customHeight="1" x14ac:dyDescent="0.2">
      <c r="A14" s="42"/>
      <c r="B14" s="43" t="s">
        <v>159</v>
      </c>
      <c r="C14" s="47" t="s">
        <v>238</v>
      </c>
      <c r="D14" s="44">
        <v>0</v>
      </c>
      <c r="E14" s="43" t="s">
        <v>85</v>
      </c>
      <c r="F14" s="44">
        <f>วัสดุ!B5</f>
        <v>21.43</v>
      </c>
      <c r="G14" s="45">
        <f t="shared" ref="G14:G24" si="0">D14*F14</f>
        <v>0</v>
      </c>
      <c r="H14" s="44">
        <v>3.6</v>
      </c>
      <c r="I14" s="44">
        <f t="shared" ref="I14:I23" si="1">D14*H14</f>
        <v>0</v>
      </c>
      <c r="J14" s="44">
        <f t="shared" ref="J14:J24" si="2">G14+I14</f>
        <v>0</v>
      </c>
      <c r="K14" s="50"/>
    </row>
    <row r="15" spans="1:11" ht="26.1" customHeight="1" x14ac:dyDescent="0.2">
      <c r="A15" s="42"/>
      <c r="B15" s="43" t="s">
        <v>159</v>
      </c>
      <c r="C15" s="47" t="s">
        <v>235</v>
      </c>
      <c r="D15" s="44">
        <f>(10038.73+504.86)*1.09</f>
        <v>11492.5131</v>
      </c>
      <c r="E15" s="43" t="s">
        <v>85</v>
      </c>
      <c r="F15" s="44">
        <f>วัสดุ!B14</f>
        <v>20.45</v>
      </c>
      <c r="G15" s="45">
        <f t="shared" si="0"/>
        <v>235021.892895</v>
      </c>
      <c r="H15" s="44">
        <v>3.6</v>
      </c>
      <c r="I15" s="44">
        <f>D15*H15</f>
        <v>41373.047160000002</v>
      </c>
      <c r="J15" s="44">
        <f t="shared" si="2"/>
        <v>276394.94005500001</v>
      </c>
      <c r="K15" s="50"/>
    </row>
    <row r="16" spans="1:11" ht="26.1" customHeight="1" x14ac:dyDescent="0.2">
      <c r="A16" s="42"/>
      <c r="B16" s="43" t="s">
        <v>159</v>
      </c>
      <c r="C16" s="47" t="s">
        <v>236</v>
      </c>
      <c r="D16" s="44">
        <f>23135.24*1.11</f>
        <v>25680.116400000003</v>
      </c>
      <c r="E16" s="43" t="s">
        <v>85</v>
      </c>
      <c r="F16" s="44">
        <f>วัสดุ!B15</f>
        <v>20.239999999999998</v>
      </c>
      <c r="G16" s="45">
        <f t="shared" si="0"/>
        <v>519765.55593600002</v>
      </c>
      <c r="H16" s="44">
        <v>3.6</v>
      </c>
      <c r="I16" s="44">
        <f t="shared" si="1"/>
        <v>92448.419040000008</v>
      </c>
      <c r="J16" s="44">
        <f t="shared" si="2"/>
        <v>612213.97497600003</v>
      </c>
      <c r="K16" s="50"/>
    </row>
    <row r="17" spans="1:12" ht="26.1" customHeight="1" x14ac:dyDescent="0.2">
      <c r="A17" s="42"/>
      <c r="B17" s="43" t="s">
        <v>159</v>
      </c>
      <c r="C17" s="47" t="s">
        <v>237</v>
      </c>
      <c r="D17" s="44">
        <f>1721.49*1.13</f>
        <v>1945.2836999999997</v>
      </c>
      <c r="E17" s="43" t="s">
        <v>85</v>
      </c>
      <c r="F17" s="44">
        <f>วัสดุ!B16</f>
        <v>21.24</v>
      </c>
      <c r="G17" s="45">
        <f t="shared" si="0"/>
        <v>41317.825787999995</v>
      </c>
      <c r="H17" s="44">
        <v>3.1</v>
      </c>
      <c r="I17" s="44">
        <f>D17*H17</f>
        <v>6030.3794699999989</v>
      </c>
      <c r="J17" s="44">
        <f t="shared" si="2"/>
        <v>47348.205257999995</v>
      </c>
      <c r="K17" s="50"/>
    </row>
    <row r="18" spans="1:12" ht="26.1" customHeight="1" x14ac:dyDescent="0.2">
      <c r="A18" s="42"/>
      <c r="B18" s="43" t="s">
        <v>159</v>
      </c>
      <c r="C18" s="47" t="s">
        <v>239</v>
      </c>
      <c r="D18" s="44">
        <f>ทดโครงสร้าง!I43</f>
        <v>0</v>
      </c>
      <c r="E18" s="43" t="s">
        <v>73</v>
      </c>
      <c r="F18" s="44">
        <f>วัสดุ!B17</f>
        <v>21.91</v>
      </c>
      <c r="G18" s="45">
        <f t="shared" si="0"/>
        <v>0</v>
      </c>
      <c r="H18" s="44">
        <v>3.1</v>
      </c>
      <c r="I18" s="44">
        <f>D18*H18</f>
        <v>0</v>
      </c>
      <c r="J18" s="44">
        <f t="shared" si="2"/>
        <v>0</v>
      </c>
      <c r="K18" s="50"/>
    </row>
    <row r="19" spans="1:12" ht="26.1" customHeight="1" x14ac:dyDescent="0.2">
      <c r="A19" s="42"/>
      <c r="B19" s="43" t="s">
        <v>159</v>
      </c>
      <c r="C19" s="47" t="s">
        <v>26</v>
      </c>
      <c r="D19" s="44">
        <f>SUM(D12:D18)*0.03</f>
        <v>2083.463088</v>
      </c>
      <c r="E19" s="43" t="s">
        <v>85</v>
      </c>
      <c r="F19" s="44">
        <f>วัสดุ!B20</f>
        <v>40.89</v>
      </c>
      <c r="G19" s="45">
        <f t="shared" si="0"/>
        <v>85192.805668319997</v>
      </c>
      <c r="H19" s="44">
        <v>0</v>
      </c>
      <c r="I19" s="44">
        <f t="shared" si="1"/>
        <v>0</v>
      </c>
      <c r="J19" s="44">
        <f t="shared" si="2"/>
        <v>85192.805668319997</v>
      </c>
      <c r="K19" s="50"/>
    </row>
    <row r="20" spans="1:12" ht="26.1" customHeight="1" x14ac:dyDescent="0.2">
      <c r="A20" s="42"/>
      <c r="B20" s="43">
        <v>1.5</v>
      </c>
      <c r="C20" s="48" t="s">
        <v>461</v>
      </c>
      <c r="D20" s="44">
        <f>D21*0.5</f>
        <v>3158.54</v>
      </c>
      <c r="E20" s="43" t="s">
        <v>74</v>
      </c>
      <c r="F20" s="44">
        <v>400</v>
      </c>
      <c r="G20" s="45">
        <f t="shared" si="0"/>
        <v>1263416</v>
      </c>
      <c r="H20" s="44">
        <v>0</v>
      </c>
      <c r="I20" s="44">
        <f t="shared" si="1"/>
        <v>0</v>
      </c>
      <c r="J20" s="44">
        <f t="shared" si="2"/>
        <v>1263416</v>
      </c>
      <c r="K20" s="58"/>
    </row>
    <row r="21" spans="1:12" ht="26.1" customHeight="1" x14ac:dyDescent="0.2">
      <c r="A21" s="42"/>
      <c r="B21" s="43" t="s">
        <v>159</v>
      </c>
      <c r="C21" s="48" t="s">
        <v>240</v>
      </c>
      <c r="D21" s="44">
        <f>6065.16+251.92</f>
        <v>6317.08</v>
      </c>
      <c r="E21" s="43" t="s">
        <v>40</v>
      </c>
      <c r="F21" s="44">
        <v>0</v>
      </c>
      <c r="G21" s="45">
        <f t="shared" si="0"/>
        <v>0</v>
      </c>
      <c r="H21" s="44">
        <v>139</v>
      </c>
      <c r="I21" s="44">
        <f t="shared" si="1"/>
        <v>878074.12</v>
      </c>
      <c r="J21" s="44">
        <f t="shared" si="2"/>
        <v>878074.12</v>
      </c>
      <c r="K21" s="50"/>
    </row>
    <row r="22" spans="1:12" ht="26.1" customHeight="1" x14ac:dyDescent="0.2">
      <c r="A22" s="42"/>
      <c r="B22" s="43">
        <v>1.6</v>
      </c>
      <c r="C22" s="48" t="s">
        <v>242</v>
      </c>
      <c r="D22" s="44">
        <f>D20*0.3</f>
        <v>947.5619999999999</v>
      </c>
      <c r="E22" s="43" t="s">
        <v>74</v>
      </c>
      <c r="F22" s="44">
        <v>400</v>
      </c>
      <c r="G22" s="45">
        <f t="shared" si="0"/>
        <v>379024.79999999993</v>
      </c>
      <c r="H22" s="44">
        <v>0</v>
      </c>
      <c r="I22" s="44">
        <f t="shared" si="1"/>
        <v>0</v>
      </c>
      <c r="J22" s="44">
        <f t="shared" si="2"/>
        <v>379024.79999999993</v>
      </c>
      <c r="K22" s="50"/>
    </row>
    <row r="23" spans="1:12" ht="26.1" customHeight="1" x14ac:dyDescent="0.2">
      <c r="A23" s="42"/>
      <c r="B23" s="43">
        <v>1.7</v>
      </c>
      <c r="C23" s="48" t="s">
        <v>241</v>
      </c>
      <c r="D23" s="506">
        <f>L23*4</f>
        <v>2120</v>
      </c>
      <c r="E23" s="43" t="s">
        <v>70</v>
      </c>
      <c r="F23" s="44">
        <v>28</v>
      </c>
      <c r="G23" s="45">
        <f t="shared" si="0"/>
        <v>59360</v>
      </c>
      <c r="H23" s="44">
        <v>0</v>
      </c>
      <c r="I23" s="44">
        <f t="shared" si="1"/>
        <v>0</v>
      </c>
      <c r="J23" s="44">
        <f t="shared" si="2"/>
        <v>59360</v>
      </c>
      <c r="K23" s="50"/>
      <c r="L23" s="447">
        <f>2650/5</f>
        <v>530</v>
      </c>
    </row>
    <row r="24" spans="1:12" ht="26.1" customHeight="1" x14ac:dyDescent="0.2">
      <c r="A24" s="42"/>
      <c r="B24" s="43">
        <v>1.8</v>
      </c>
      <c r="C24" s="48" t="s">
        <v>181</v>
      </c>
      <c r="D24" s="44">
        <f>0.25*D21</f>
        <v>1579.27</v>
      </c>
      <c r="E24" s="43" t="s">
        <v>73</v>
      </c>
      <c r="F24" s="44">
        <f>วัสดุ!B21</f>
        <v>46.73</v>
      </c>
      <c r="G24" s="45">
        <f t="shared" si="0"/>
        <v>73799.287100000001</v>
      </c>
      <c r="H24" s="44">
        <v>0</v>
      </c>
      <c r="I24" s="44">
        <f>D24*H24</f>
        <v>0</v>
      </c>
      <c r="J24" s="44">
        <f t="shared" si="2"/>
        <v>73799.287100000001</v>
      </c>
      <c r="K24" s="50"/>
    </row>
    <row r="25" spans="1:12" ht="26.1" customHeight="1" thickBot="1" x14ac:dyDescent="0.25">
      <c r="A25" s="301"/>
      <c r="B25" s="437">
        <v>1.9</v>
      </c>
      <c r="C25" s="447" t="s">
        <v>136</v>
      </c>
      <c r="D25" s="44">
        <v>33.18</v>
      </c>
      <c r="E25" s="43" t="s">
        <v>72</v>
      </c>
      <c r="F25" s="44">
        <f>วัสดุ!B22</f>
        <v>654.21</v>
      </c>
      <c r="G25" s="45">
        <f>D25*F25</f>
        <v>21706.6878</v>
      </c>
      <c r="H25" s="44">
        <v>104</v>
      </c>
      <c r="I25" s="44">
        <f>D25*H25</f>
        <v>3450.72</v>
      </c>
      <c r="J25" s="44">
        <f>G25+I25</f>
        <v>25157.407800000001</v>
      </c>
      <c r="K25" s="302"/>
    </row>
    <row r="26" spans="1:12" ht="26.1" customHeight="1" thickBot="1" x14ac:dyDescent="0.25">
      <c r="A26" s="61"/>
      <c r="B26" s="601" t="s">
        <v>232</v>
      </c>
      <c r="C26" s="600"/>
      <c r="D26" s="600"/>
      <c r="E26" s="600"/>
      <c r="F26" s="600"/>
      <c r="G26" s="600"/>
      <c r="H26" s="600"/>
      <c r="I26" s="540"/>
      <c r="J26" s="62">
        <f>SUM(J7:J24)</f>
        <v>6547863.085092321</v>
      </c>
      <c r="K26" s="63"/>
    </row>
  </sheetData>
  <mergeCells count="8">
    <mergeCell ref="B26:I26"/>
    <mergeCell ref="H5:I5"/>
    <mergeCell ref="K5:K6"/>
    <mergeCell ref="A5:A6"/>
    <mergeCell ref="D5:D6"/>
    <mergeCell ref="B5:C6"/>
    <mergeCell ref="E5:E6"/>
    <mergeCell ref="F5:G5"/>
  </mergeCells>
  <phoneticPr fontId="0" type="noConversion"/>
  <printOptions horizontalCentered="1" verticalCentered="1"/>
  <pageMargins left="0.47244094488188981" right="0.47244094488188981" top="0.39370078740157483" bottom="0.27559055118110237" header="0.51181102362204722" footer="0.51181102362204722"/>
  <pageSetup paperSize="9" scale="72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8F18-4765-41E0-8B36-282FE9F5FED4}">
  <dimension ref="A1:Q221"/>
  <sheetViews>
    <sheetView topLeftCell="A112" zoomScale="70" zoomScaleNormal="70" zoomScaleSheetLayoutView="145" workbookViewId="0">
      <selection activeCell="N15" sqref="N15"/>
    </sheetView>
  </sheetViews>
  <sheetFormatPr defaultColWidth="9.140625" defaultRowHeight="26.1" customHeight="1" x14ac:dyDescent="0.2"/>
  <cols>
    <col min="1" max="2" width="10.7109375" style="447" customWidth="1"/>
    <col min="3" max="3" width="55.7109375" style="447" customWidth="1"/>
    <col min="4" max="4" width="12.7109375" style="437" customWidth="1"/>
    <col min="5" max="5" width="10.7109375" style="447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3.7109375" style="447" customWidth="1"/>
    <col min="12" max="13" width="10.7109375" style="287" customWidth="1"/>
    <col min="14" max="15" width="9.140625" style="447"/>
    <col min="16" max="16" width="9.85546875" style="447" bestFit="1" customWidth="1"/>
    <col min="17" max="17" width="14.85546875" style="447" customWidth="1"/>
    <col min="18" max="16384" width="9.140625" style="447"/>
  </cols>
  <sheetData>
    <row r="1" spans="1:13" s="6" customFormat="1" ht="26.1" customHeight="1" x14ac:dyDescent="0.2">
      <c r="A1" s="6" t="str">
        <f>รวมราคา!A1</f>
        <v xml:space="preserve">ประมาณราคาค่าก่อสร้าง </v>
      </c>
      <c r="C1" s="88" t="str">
        <f>รวมราคา!C1</f>
        <v>อาคารที่พักอาศัย (แฟลต) จำนวน 40 ครอบครัว สูง 5 ชั้น (ใต้ถุนโล่ง)</v>
      </c>
      <c r="J1" s="447" t="str">
        <f>รวมราคา!J1</f>
        <v>แบบ ปร.4   แผ่นที่</v>
      </c>
      <c r="K1" s="88">
        <v>3</v>
      </c>
      <c r="L1" s="265"/>
      <c r="M1" s="265"/>
    </row>
    <row r="2" spans="1:13" s="6" customFormat="1" ht="26.1" customHeight="1" x14ac:dyDescent="0.2">
      <c r="A2" s="6" t="str">
        <f>รวมราคา!A2</f>
        <v xml:space="preserve">สถานที่ก่อสร้าง  </v>
      </c>
      <c r="C2" s="447" t="str">
        <f>รวมราคา!C2</f>
        <v>บก.ตชก.ภาค 2 ถ.หลังศูนย์ราชการ ต.ในเมือง อ.เมือง จ.ขอนแก่น</v>
      </c>
      <c r="G2" s="6" t="str">
        <f>รวมราคา!G2</f>
        <v xml:space="preserve">แบบเลขที่ </v>
      </c>
      <c r="H2" s="447" t="str">
        <f>รวมราคา!H2</f>
        <v>ตร.10817/60</v>
      </c>
      <c r="L2" s="265"/>
      <c r="M2" s="265"/>
    </row>
    <row r="3" spans="1:13" s="6" customFormat="1" ht="26.1" customHeight="1" x14ac:dyDescent="0.2">
      <c r="A3" s="6" t="str">
        <f>รวมราคา!A3</f>
        <v xml:space="preserve">ฝ่ายประมาณราคา   </v>
      </c>
      <c r="C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3" s="6" t="str">
        <f>รวมราคา!G3</f>
        <v>กำหนดราคากลางเมื่อ</v>
      </c>
      <c r="H3" s="447"/>
      <c r="L3" s="265"/>
      <c r="M3" s="265"/>
    </row>
    <row r="4" spans="1:13" s="6" customFormat="1" ht="26.1" customHeight="1" thickBot="1" x14ac:dyDescent="0.25">
      <c r="A4" s="87" t="str">
        <f>รวมราคา!A4</f>
        <v xml:space="preserve">ประมาณราคาโดย  </v>
      </c>
      <c r="B4" s="87"/>
      <c r="C4" s="89"/>
      <c r="D4" s="87"/>
      <c r="E4" s="87"/>
      <c r="F4" s="87"/>
      <c r="G4" s="87"/>
      <c r="H4" s="87"/>
      <c r="I4" s="87"/>
      <c r="J4" s="87"/>
      <c r="L4" s="265"/>
      <c r="M4" s="265"/>
    </row>
    <row r="5" spans="1:13" s="6" customFormat="1" ht="26.1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  <c r="L5" s="265"/>
      <c r="M5" s="265"/>
    </row>
    <row r="6" spans="1:13" s="6" customFormat="1" ht="26.1" customHeight="1" thickBot="1" x14ac:dyDescent="0.25">
      <c r="A6" s="522"/>
      <c r="B6" s="522"/>
      <c r="C6" s="522"/>
      <c r="D6" s="522"/>
      <c r="E6" s="600"/>
      <c r="F6" s="441" t="s">
        <v>23</v>
      </c>
      <c r="G6" s="40" t="s">
        <v>24</v>
      </c>
      <c r="H6" s="441" t="s">
        <v>23</v>
      </c>
      <c r="I6" s="441" t="s">
        <v>24</v>
      </c>
      <c r="J6" s="41" t="s">
        <v>25</v>
      </c>
      <c r="K6" s="540"/>
      <c r="L6" s="265"/>
      <c r="M6" s="265"/>
    </row>
    <row r="7" spans="1:13" s="6" customFormat="1" ht="26.1" customHeight="1" x14ac:dyDescent="0.2">
      <c r="A7" s="440">
        <v>2</v>
      </c>
      <c r="B7" s="17" t="s">
        <v>29</v>
      </c>
      <c r="C7" s="17"/>
      <c r="D7" s="440"/>
      <c r="E7" s="226"/>
      <c r="F7" s="439"/>
      <c r="G7" s="227"/>
      <c r="H7" s="439"/>
      <c r="I7" s="439"/>
      <c r="J7" s="439"/>
      <c r="K7" s="228"/>
      <c r="L7" s="265"/>
      <c r="M7" s="265"/>
    </row>
    <row r="8" spans="1:13" ht="26.1" customHeight="1" x14ac:dyDescent="0.2">
      <c r="A8" s="42"/>
      <c r="B8" s="43">
        <v>2.1</v>
      </c>
      <c r="C8" s="48" t="s">
        <v>245</v>
      </c>
      <c r="D8" s="42"/>
      <c r="E8" s="43"/>
      <c r="F8" s="44"/>
      <c r="G8" s="45"/>
      <c r="H8" s="44"/>
      <c r="I8" s="44"/>
      <c r="J8" s="44">
        <f>J50</f>
        <v>683811.36</v>
      </c>
      <c r="K8" s="46"/>
    </row>
    <row r="9" spans="1:13" ht="26.1" customHeight="1" x14ac:dyDescent="0.2">
      <c r="A9" s="25"/>
      <c r="B9" s="55">
        <v>2.2000000000000002</v>
      </c>
      <c r="C9" s="29" t="s">
        <v>246</v>
      </c>
      <c r="D9" s="25"/>
      <c r="E9" s="55"/>
      <c r="F9" s="49"/>
      <c r="G9" s="56"/>
      <c r="H9" s="49"/>
      <c r="I9" s="49"/>
      <c r="J9" s="49">
        <f>J75</f>
        <v>650141.58000000007</v>
      </c>
      <c r="K9" s="57"/>
    </row>
    <row r="10" spans="1:13" ht="26.1" customHeight="1" x14ac:dyDescent="0.2">
      <c r="A10" s="25"/>
      <c r="B10" s="43">
        <v>2.2999999999999998</v>
      </c>
      <c r="C10" s="29" t="s">
        <v>247</v>
      </c>
      <c r="D10" s="52"/>
      <c r="E10" s="55"/>
      <c r="F10" s="49"/>
      <c r="G10" s="56"/>
      <c r="H10" s="49"/>
      <c r="I10" s="49"/>
      <c r="J10" s="49">
        <f>J100</f>
        <v>4265808.8</v>
      </c>
      <c r="K10" s="57"/>
    </row>
    <row r="11" spans="1:13" ht="26.1" customHeight="1" x14ac:dyDescent="0.2">
      <c r="A11" s="25"/>
      <c r="B11" s="55">
        <v>2.4</v>
      </c>
      <c r="C11" s="29" t="s">
        <v>248</v>
      </c>
      <c r="D11" s="25"/>
      <c r="E11" s="55"/>
      <c r="F11" s="49"/>
      <c r="G11" s="56"/>
      <c r="H11" s="49"/>
      <c r="I11" s="49"/>
      <c r="J11" s="49">
        <f>J125</f>
        <v>1017275</v>
      </c>
      <c r="K11" s="57"/>
    </row>
    <row r="12" spans="1:13" ht="26.1" customHeight="1" x14ac:dyDescent="0.2">
      <c r="A12" s="25"/>
      <c r="B12" s="43">
        <v>2.5</v>
      </c>
      <c r="C12" s="29" t="s">
        <v>249</v>
      </c>
      <c r="D12" s="25"/>
      <c r="E12" s="55"/>
      <c r="F12" s="49"/>
      <c r="G12" s="56"/>
      <c r="H12" s="49"/>
      <c r="I12" s="49"/>
      <c r="J12" s="49">
        <f>J149</f>
        <v>840400</v>
      </c>
      <c r="K12" s="57"/>
    </row>
    <row r="13" spans="1:13" ht="26.1" customHeight="1" x14ac:dyDescent="0.2">
      <c r="A13" s="25"/>
      <c r="B13" s="55">
        <v>2.6</v>
      </c>
      <c r="C13" s="29" t="s">
        <v>250</v>
      </c>
      <c r="D13" s="25"/>
      <c r="E13" s="55"/>
      <c r="F13" s="49"/>
      <c r="G13" s="56"/>
      <c r="H13" s="49"/>
      <c r="I13" s="49"/>
      <c r="J13" s="49">
        <f>J173</f>
        <v>568640</v>
      </c>
      <c r="K13" s="57"/>
    </row>
    <row r="14" spans="1:13" ht="26.1" customHeight="1" x14ac:dyDescent="0.2">
      <c r="A14" s="25"/>
      <c r="B14" s="43">
        <v>2.7</v>
      </c>
      <c r="C14" s="29" t="s">
        <v>251</v>
      </c>
      <c r="D14" s="25"/>
      <c r="E14" s="55"/>
      <c r="F14" s="49"/>
      <c r="G14" s="56"/>
      <c r="H14" s="49"/>
      <c r="I14" s="49"/>
      <c r="J14" s="49">
        <f>J197</f>
        <v>919000</v>
      </c>
      <c r="K14" s="57"/>
    </row>
    <row r="15" spans="1:13" ht="26.1" customHeight="1" x14ac:dyDescent="0.2">
      <c r="A15" s="25"/>
      <c r="B15" s="55">
        <v>2.8</v>
      </c>
      <c r="C15" s="29" t="s">
        <v>261</v>
      </c>
      <c r="D15" s="25"/>
      <c r="E15" s="55"/>
      <c r="F15" s="49"/>
      <c r="G15" s="56"/>
      <c r="H15" s="49"/>
      <c r="I15" s="49"/>
      <c r="J15" s="49">
        <f>J221</f>
        <v>130650</v>
      </c>
      <c r="K15" s="57"/>
    </row>
    <row r="16" spans="1:13" ht="26.1" customHeight="1" x14ac:dyDescent="0.2">
      <c r="A16" s="25"/>
      <c r="B16" s="29"/>
      <c r="C16" s="29"/>
      <c r="D16" s="25"/>
      <c r="E16" s="55"/>
      <c r="F16" s="49"/>
      <c r="G16" s="56"/>
      <c r="H16" s="49"/>
      <c r="I16" s="49"/>
      <c r="J16" s="49"/>
      <c r="K16" s="57"/>
    </row>
    <row r="17" spans="1:13" ht="26.1" customHeight="1" x14ac:dyDescent="0.2">
      <c r="A17" s="25"/>
      <c r="B17" s="55"/>
      <c r="C17" s="29"/>
      <c r="D17" s="52"/>
      <c r="E17" s="55"/>
      <c r="F17" s="49"/>
      <c r="G17" s="56"/>
      <c r="H17" s="49"/>
      <c r="I17" s="49"/>
      <c r="J17" s="49"/>
      <c r="K17" s="57"/>
    </row>
    <row r="18" spans="1:13" ht="26.1" customHeight="1" x14ac:dyDescent="0.2">
      <c r="A18" s="25"/>
      <c r="B18" s="55"/>
      <c r="C18" s="29"/>
      <c r="D18" s="25"/>
      <c r="E18" s="55"/>
      <c r="F18" s="49"/>
      <c r="G18" s="56"/>
      <c r="H18" s="49"/>
      <c r="I18" s="49"/>
      <c r="J18" s="49"/>
      <c r="K18" s="57"/>
    </row>
    <row r="19" spans="1:13" ht="26.1" customHeight="1" x14ac:dyDescent="0.2">
      <c r="A19" s="25"/>
      <c r="B19" s="55"/>
      <c r="C19" s="29"/>
      <c r="D19" s="25"/>
      <c r="E19" s="55"/>
      <c r="F19" s="49"/>
      <c r="G19" s="56"/>
      <c r="H19" s="49"/>
      <c r="I19" s="49"/>
      <c r="J19" s="49"/>
      <c r="K19" s="57"/>
    </row>
    <row r="20" spans="1:13" ht="26.1" customHeight="1" x14ac:dyDescent="0.2">
      <c r="A20" s="25"/>
      <c r="B20" s="55"/>
      <c r="C20" s="29"/>
      <c r="D20" s="25"/>
      <c r="E20" s="55"/>
      <c r="F20" s="49"/>
      <c r="G20" s="56"/>
      <c r="H20" s="49"/>
      <c r="I20" s="49"/>
      <c r="J20" s="49"/>
      <c r="K20" s="57"/>
    </row>
    <row r="21" spans="1:13" ht="26.1" customHeight="1" x14ac:dyDescent="0.2">
      <c r="A21" s="25"/>
      <c r="B21" s="55"/>
      <c r="C21" s="29"/>
      <c r="D21" s="25"/>
      <c r="E21" s="55"/>
      <c r="F21" s="49"/>
      <c r="G21" s="56"/>
      <c r="H21" s="49"/>
      <c r="I21" s="49"/>
      <c r="J21" s="49"/>
      <c r="K21" s="57"/>
    </row>
    <row r="22" spans="1:13" ht="26.1" customHeight="1" x14ac:dyDescent="0.2">
      <c r="A22" s="25"/>
      <c r="B22" s="55"/>
      <c r="C22" s="29"/>
      <c r="D22" s="25"/>
      <c r="E22" s="55"/>
      <c r="F22" s="49"/>
      <c r="G22" s="56"/>
      <c r="H22" s="49"/>
      <c r="I22" s="49"/>
      <c r="J22" s="49"/>
      <c r="K22" s="57"/>
    </row>
    <row r="23" spans="1:13" ht="26.1" customHeight="1" thickBot="1" x14ac:dyDescent="0.25">
      <c r="A23" s="64"/>
      <c r="B23" s="65"/>
      <c r="C23" s="32"/>
      <c r="D23" s="64"/>
      <c r="E23" s="65"/>
      <c r="F23" s="66"/>
      <c r="G23" s="67"/>
      <c r="H23" s="66"/>
      <c r="I23" s="66"/>
      <c r="J23" s="66"/>
      <c r="K23" s="68"/>
    </row>
    <row r="24" spans="1:13" ht="26.1" customHeight="1" thickBot="1" x14ac:dyDescent="0.25">
      <c r="A24" s="61"/>
      <c r="B24" s="601" t="s">
        <v>252</v>
      </c>
      <c r="C24" s="600"/>
      <c r="D24" s="600"/>
      <c r="E24" s="600"/>
      <c r="F24" s="600"/>
      <c r="G24" s="600"/>
      <c r="H24" s="600"/>
      <c r="I24" s="540"/>
      <c r="J24" s="62">
        <f>SUM(J7:J23)</f>
        <v>9075726.7400000002</v>
      </c>
      <c r="K24" s="63"/>
    </row>
    <row r="25" spans="1:13" s="6" customFormat="1" ht="26.1" customHeight="1" x14ac:dyDescent="0.2">
      <c r="A25" s="6" t="str">
        <f>รวมราคา!A1</f>
        <v xml:space="preserve">ประมาณราคาค่าก่อสร้าง </v>
      </c>
      <c r="C25" s="88" t="str">
        <f>รวมราคา!C1</f>
        <v>อาคารที่พักอาศัย (แฟลต) จำนวน 40 ครอบครัว สูง 5 ชั้น (ใต้ถุนโล่ง)</v>
      </c>
      <c r="J25" s="447" t="str">
        <f>รวมราคา!J1</f>
        <v>แบบ ปร.4   แผ่นที่</v>
      </c>
      <c r="K25" s="88">
        <v>4</v>
      </c>
      <c r="L25" s="265"/>
      <c r="M25" s="265"/>
    </row>
    <row r="26" spans="1:13" s="6" customFormat="1" ht="26.1" customHeight="1" x14ac:dyDescent="0.2">
      <c r="A26" s="6" t="str">
        <f>รวมราคา!A2</f>
        <v xml:space="preserve">สถานที่ก่อสร้าง  </v>
      </c>
      <c r="C26" s="447" t="str">
        <f>รวมราคา!C2</f>
        <v>บก.ตชก.ภาค 2 ถ.หลังศูนย์ราชการ ต.ในเมือง อ.เมือง จ.ขอนแก่น</v>
      </c>
      <c r="G26" s="6" t="str">
        <f>รวมราคา!G2</f>
        <v xml:space="preserve">แบบเลขที่ </v>
      </c>
      <c r="H26" s="447" t="str">
        <f>รวมราคา!H2</f>
        <v>ตร.10817/60</v>
      </c>
      <c r="L26" s="265"/>
      <c r="M26" s="265"/>
    </row>
    <row r="27" spans="1:13" s="6" customFormat="1" ht="26.1" customHeight="1" x14ac:dyDescent="0.2">
      <c r="A27" s="6" t="str">
        <f>รวมราคา!A3</f>
        <v xml:space="preserve">ฝ่ายประมาณราคา   </v>
      </c>
      <c r="C27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27" s="6" t="str">
        <f>รวมราคา!G3</f>
        <v>กำหนดราคากลางเมื่อ</v>
      </c>
      <c r="H27" s="108"/>
      <c r="L27" s="265"/>
      <c r="M27" s="265"/>
    </row>
    <row r="28" spans="1:13" s="6" customFormat="1" ht="26.1" customHeight="1" thickBot="1" x14ac:dyDescent="0.25">
      <c r="A28" s="87" t="str">
        <f>รวมราคา!A4</f>
        <v xml:space="preserve">ประมาณราคาโดย  </v>
      </c>
      <c r="B28" s="87"/>
      <c r="C28" s="89"/>
      <c r="D28" s="87"/>
      <c r="E28" s="87"/>
      <c r="F28" s="87"/>
      <c r="G28" s="87"/>
      <c r="H28" s="87"/>
      <c r="I28" s="87"/>
      <c r="J28" s="87"/>
      <c r="L28" s="265"/>
      <c r="M28" s="265"/>
    </row>
    <row r="29" spans="1:13" s="6" customFormat="1" ht="26.1" customHeight="1" thickBot="1" x14ac:dyDescent="0.25">
      <c r="A29" s="522" t="s">
        <v>3</v>
      </c>
      <c r="B29" s="522" t="s">
        <v>4</v>
      </c>
      <c r="C29" s="522"/>
      <c r="D29" s="522" t="s">
        <v>18</v>
      </c>
      <c r="E29" s="600" t="s">
        <v>19</v>
      </c>
      <c r="F29" s="593" t="s">
        <v>20</v>
      </c>
      <c r="G29" s="593"/>
      <c r="H29" s="593" t="s">
        <v>21</v>
      </c>
      <c r="I29" s="593"/>
      <c r="J29" s="39" t="s">
        <v>22</v>
      </c>
      <c r="K29" s="540" t="s">
        <v>8</v>
      </c>
      <c r="L29" s="265"/>
      <c r="M29" s="265"/>
    </row>
    <row r="30" spans="1:13" s="6" customFormat="1" ht="26.1" customHeight="1" thickBot="1" x14ac:dyDescent="0.25">
      <c r="A30" s="522"/>
      <c r="B30" s="522"/>
      <c r="C30" s="522"/>
      <c r="D30" s="522"/>
      <c r="E30" s="600"/>
      <c r="F30" s="441" t="s">
        <v>23</v>
      </c>
      <c r="G30" s="40" t="s">
        <v>24</v>
      </c>
      <c r="H30" s="441" t="s">
        <v>23</v>
      </c>
      <c r="I30" s="441" t="s">
        <v>24</v>
      </c>
      <c r="J30" s="41" t="s">
        <v>25</v>
      </c>
      <c r="K30" s="540"/>
      <c r="L30" s="265"/>
      <c r="M30" s="265"/>
    </row>
    <row r="31" spans="1:13" s="6" customFormat="1" ht="26.1" customHeight="1" x14ac:dyDescent="0.2">
      <c r="A31" s="20"/>
      <c r="B31" s="222">
        <v>2.1</v>
      </c>
      <c r="C31" s="221" t="s">
        <v>245</v>
      </c>
      <c r="D31" s="229"/>
      <c r="E31" s="222"/>
      <c r="F31" s="24"/>
      <c r="G31" s="223"/>
      <c r="H31" s="24"/>
      <c r="I31" s="24"/>
      <c r="J31" s="24"/>
      <c r="K31" s="224"/>
      <c r="L31" s="265" t="s">
        <v>446</v>
      </c>
      <c r="M31" s="265" t="s">
        <v>447</v>
      </c>
    </row>
    <row r="32" spans="1:13" ht="26.1" customHeight="1" x14ac:dyDescent="0.2">
      <c r="A32" s="42"/>
      <c r="B32" s="43" t="s">
        <v>30</v>
      </c>
      <c r="C32" s="48" t="s">
        <v>448</v>
      </c>
      <c r="D32" s="256">
        <v>96</v>
      </c>
      <c r="E32" s="43" t="s">
        <v>31</v>
      </c>
      <c r="F32" s="240">
        <v>497.67</v>
      </c>
      <c r="G32" s="250">
        <f>D32*F32</f>
        <v>47776.32</v>
      </c>
      <c r="H32" s="240">
        <v>0</v>
      </c>
      <c r="I32" s="240">
        <f>D32*H32</f>
        <v>0</v>
      </c>
      <c r="J32" s="240">
        <f>G32+I32</f>
        <v>47776.32</v>
      </c>
      <c r="K32" s="257"/>
      <c r="L32" s="291">
        <v>21</v>
      </c>
      <c r="M32" s="288">
        <f>D32*L32</f>
        <v>2016</v>
      </c>
    </row>
    <row r="33" spans="1:13" ht="26.1" customHeight="1" x14ac:dyDescent="0.2">
      <c r="A33" s="42"/>
      <c r="B33" s="43" t="s">
        <v>32</v>
      </c>
      <c r="C33" s="48" t="s">
        <v>445</v>
      </c>
      <c r="D33" s="256">
        <v>116</v>
      </c>
      <c r="E33" s="43" t="s">
        <v>31</v>
      </c>
      <c r="F33" s="240">
        <v>556.07000000000005</v>
      </c>
      <c r="G33" s="250">
        <f>D33*F33</f>
        <v>64504.12</v>
      </c>
      <c r="H33" s="240">
        <v>0</v>
      </c>
      <c r="I33" s="240">
        <f>D33*H33</f>
        <v>0</v>
      </c>
      <c r="J33" s="240">
        <f>G33+I33</f>
        <v>64504.12</v>
      </c>
      <c r="K33" s="257"/>
      <c r="L33" s="287">
        <v>24.36</v>
      </c>
      <c r="M33" s="288">
        <f>D33*L33</f>
        <v>2825.7599999999998</v>
      </c>
    </row>
    <row r="34" spans="1:13" ht="26.1" customHeight="1" x14ac:dyDescent="0.2">
      <c r="A34" s="42"/>
      <c r="B34" s="43" t="s">
        <v>33</v>
      </c>
      <c r="C34" s="48" t="s">
        <v>449</v>
      </c>
      <c r="D34" s="256">
        <v>8</v>
      </c>
      <c r="E34" s="43" t="s">
        <v>31</v>
      </c>
      <c r="F34" s="240">
        <v>824.77</v>
      </c>
      <c r="G34" s="250">
        <f>D34*F34</f>
        <v>6598.16</v>
      </c>
      <c r="H34" s="240">
        <v>0</v>
      </c>
      <c r="I34" s="240">
        <f>D34*H34</f>
        <v>0</v>
      </c>
      <c r="J34" s="240">
        <f>G34+I34</f>
        <v>6598.16</v>
      </c>
      <c r="K34" s="257"/>
      <c r="L34" s="287">
        <v>27.06</v>
      </c>
      <c r="M34" s="288">
        <f>D34*L34</f>
        <v>216.48</v>
      </c>
    </row>
    <row r="35" spans="1:13" ht="26.1" customHeight="1" x14ac:dyDescent="0.2">
      <c r="A35" s="42"/>
      <c r="B35" s="43" t="s">
        <v>34</v>
      </c>
      <c r="C35" s="48" t="s">
        <v>450</v>
      </c>
      <c r="D35" s="256">
        <v>12</v>
      </c>
      <c r="E35" s="43" t="s">
        <v>31</v>
      </c>
      <c r="F35" s="240">
        <v>824.77</v>
      </c>
      <c r="G35" s="250">
        <f>D35*F35</f>
        <v>9897.24</v>
      </c>
      <c r="H35" s="240">
        <v>0</v>
      </c>
      <c r="I35" s="240">
        <f>D35*H35</f>
        <v>0</v>
      </c>
      <c r="J35" s="240">
        <f>G35+I35</f>
        <v>9897.24</v>
      </c>
      <c r="K35" s="257"/>
      <c r="L35" s="287">
        <v>27.06</v>
      </c>
      <c r="M35" s="288">
        <f>D35*L35</f>
        <v>324.71999999999997</v>
      </c>
    </row>
    <row r="36" spans="1:13" ht="26.1" customHeight="1" x14ac:dyDescent="0.2">
      <c r="A36" s="42"/>
      <c r="B36" s="43" t="s">
        <v>159</v>
      </c>
      <c r="C36" s="48" t="s">
        <v>357</v>
      </c>
      <c r="D36" s="259">
        <f>M36</f>
        <v>5382.96</v>
      </c>
      <c r="E36" s="43" t="s">
        <v>73</v>
      </c>
      <c r="F36" s="240">
        <v>0</v>
      </c>
      <c r="G36" s="250">
        <f t="shared" ref="G36:G41" si="0">D36*F36</f>
        <v>0</v>
      </c>
      <c r="H36" s="240">
        <v>12</v>
      </c>
      <c r="I36" s="240">
        <f t="shared" ref="I36:I41" si="1">D36*H36</f>
        <v>64595.520000000004</v>
      </c>
      <c r="J36" s="240">
        <f t="shared" ref="J36:J41" si="2">G36+I36</f>
        <v>64595.520000000004</v>
      </c>
      <c r="K36" s="257"/>
      <c r="M36" s="288">
        <f>SUM(M32:M35)</f>
        <v>5382.96</v>
      </c>
    </row>
    <row r="37" spans="1:13" ht="26.1" customHeight="1" x14ac:dyDescent="0.2">
      <c r="A37" s="42"/>
      <c r="B37" s="43" t="s">
        <v>35</v>
      </c>
      <c r="C37" s="48" t="s">
        <v>453</v>
      </c>
      <c r="D37" s="259">
        <v>550</v>
      </c>
      <c r="E37" s="43" t="s">
        <v>40</v>
      </c>
      <c r="F37" s="240">
        <v>350</v>
      </c>
      <c r="G37" s="250">
        <f t="shared" si="0"/>
        <v>192500</v>
      </c>
      <c r="H37" s="240">
        <v>70</v>
      </c>
      <c r="I37" s="240">
        <f t="shared" si="1"/>
        <v>38500</v>
      </c>
      <c r="J37" s="240">
        <f t="shared" si="2"/>
        <v>231000</v>
      </c>
      <c r="K37" s="257"/>
    </row>
    <row r="38" spans="1:13" ht="26.1" customHeight="1" x14ac:dyDescent="0.2">
      <c r="A38" s="42"/>
      <c r="B38" s="43" t="s">
        <v>36</v>
      </c>
      <c r="C38" s="48" t="s">
        <v>358</v>
      </c>
      <c r="D38" s="259">
        <v>48</v>
      </c>
      <c r="E38" s="43" t="s">
        <v>71</v>
      </c>
      <c r="F38" s="240">
        <v>260</v>
      </c>
      <c r="G38" s="250">
        <f t="shared" si="0"/>
        <v>12480</v>
      </c>
      <c r="H38" s="240">
        <v>70</v>
      </c>
      <c r="I38" s="240">
        <f t="shared" si="1"/>
        <v>3360</v>
      </c>
      <c r="J38" s="240">
        <f t="shared" si="2"/>
        <v>15840</v>
      </c>
      <c r="K38" s="257"/>
    </row>
    <row r="39" spans="1:13" ht="26.1" customHeight="1" x14ac:dyDescent="0.2">
      <c r="A39" s="42"/>
      <c r="B39" s="43" t="s">
        <v>37</v>
      </c>
      <c r="C39" s="48" t="s">
        <v>443</v>
      </c>
      <c r="D39" s="259">
        <f>D37</f>
        <v>550</v>
      </c>
      <c r="E39" s="43" t="s">
        <v>40</v>
      </c>
      <c r="F39" s="240">
        <v>280</v>
      </c>
      <c r="G39" s="250">
        <f t="shared" si="0"/>
        <v>154000</v>
      </c>
      <c r="H39" s="240">
        <v>25</v>
      </c>
      <c r="I39" s="240">
        <f t="shared" si="1"/>
        <v>13750</v>
      </c>
      <c r="J39" s="240">
        <f t="shared" si="2"/>
        <v>167750</v>
      </c>
      <c r="K39" s="257"/>
    </row>
    <row r="40" spans="1:13" ht="26.1" customHeight="1" x14ac:dyDescent="0.2">
      <c r="A40" s="42"/>
      <c r="B40" s="43"/>
      <c r="C40" s="48" t="s">
        <v>444</v>
      </c>
      <c r="D40" s="259"/>
      <c r="E40" s="43"/>
      <c r="F40" s="240"/>
      <c r="G40" s="250"/>
      <c r="H40" s="240"/>
      <c r="I40" s="240"/>
      <c r="J40" s="240"/>
      <c r="K40" s="257"/>
    </row>
    <row r="41" spans="1:13" ht="26.1" customHeight="1" x14ac:dyDescent="0.2">
      <c r="A41" s="42"/>
      <c r="B41" s="43" t="s">
        <v>451</v>
      </c>
      <c r="C41" s="48" t="s">
        <v>359</v>
      </c>
      <c r="D41" s="259">
        <f>D37</f>
        <v>550</v>
      </c>
      <c r="E41" s="43" t="s">
        <v>40</v>
      </c>
      <c r="F41" s="240">
        <v>62</v>
      </c>
      <c r="G41" s="250">
        <f t="shared" si="0"/>
        <v>34100</v>
      </c>
      <c r="H41" s="240">
        <v>35</v>
      </c>
      <c r="I41" s="240">
        <f t="shared" si="1"/>
        <v>19250</v>
      </c>
      <c r="J41" s="240">
        <f t="shared" si="2"/>
        <v>53350</v>
      </c>
      <c r="K41" s="236"/>
    </row>
    <row r="42" spans="1:13" ht="26.1" customHeight="1" x14ac:dyDescent="0.2">
      <c r="A42" s="42"/>
      <c r="B42" s="43" t="s">
        <v>452</v>
      </c>
      <c r="C42" s="48" t="s">
        <v>360</v>
      </c>
      <c r="D42" s="256">
        <v>75</v>
      </c>
      <c r="E42" s="43" t="s">
        <v>38</v>
      </c>
      <c r="F42" s="240">
        <v>250</v>
      </c>
      <c r="G42" s="250">
        <f>D42*F42</f>
        <v>18750</v>
      </c>
      <c r="H42" s="240">
        <v>50</v>
      </c>
      <c r="I42" s="240">
        <f>D42*H42</f>
        <v>3750</v>
      </c>
      <c r="J42" s="240">
        <f>G42+I42</f>
        <v>22500</v>
      </c>
      <c r="K42" s="257"/>
    </row>
    <row r="43" spans="1:13" ht="26.1" customHeight="1" x14ac:dyDescent="0.2">
      <c r="A43" s="42"/>
      <c r="B43" s="59"/>
      <c r="C43" s="48"/>
      <c r="D43" s="70"/>
      <c r="E43" s="43"/>
      <c r="F43" s="44"/>
      <c r="G43" s="45"/>
      <c r="H43" s="44"/>
      <c r="I43" s="44"/>
      <c r="J43" s="44"/>
      <c r="K43" s="46"/>
    </row>
    <row r="44" spans="1:13" ht="26.1" customHeight="1" x14ac:dyDescent="0.2">
      <c r="A44" s="42"/>
      <c r="B44" s="59"/>
      <c r="C44" s="48"/>
      <c r="D44" s="70"/>
      <c r="E44" s="43"/>
      <c r="F44" s="44"/>
      <c r="G44" s="45"/>
      <c r="H44" s="44"/>
      <c r="I44" s="44"/>
      <c r="J44" s="44"/>
      <c r="K44" s="46"/>
    </row>
    <row r="45" spans="1:13" ht="26.1" customHeight="1" x14ac:dyDescent="0.2">
      <c r="A45" s="42"/>
      <c r="B45" s="59"/>
      <c r="C45" s="48"/>
      <c r="D45" s="69"/>
      <c r="E45" s="43"/>
      <c r="F45" s="44"/>
      <c r="G45" s="45"/>
      <c r="H45" s="44"/>
      <c r="I45" s="44"/>
      <c r="J45" s="44"/>
      <c r="K45" s="46"/>
    </row>
    <row r="46" spans="1:13" ht="26.1" customHeight="1" x14ac:dyDescent="0.2">
      <c r="A46" s="42"/>
      <c r="B46" s="59"/>
      <c r="C46" s="48"/>
      <c r="D46" s="70"/>
      <c r="E46" s="43"/>
      <c r="F46" s="44"/>
      <c r="G46" s="45"/>
      <c r="H46" s="44"/>
      <c r="I46" s="44"/>
      <c r="J46" s="44"/>
      <c r="K46" s="46"/>
    </row>
    <row r="47" spans="1:13" ht="26.1" customHeight="1" x14ac:dyDescent="0.2">
      <c r="A47" s="42"/>
      <c r="B47" s="59"/>
      <c r="C47" s="48"/>
      <c r="D47" s="69"/>
      <c r="E47" s="43"/>
      <c r="F47" s="44"/>
      <c r="G47" s="45"/>
      <c r="H47" s="44"/>
      <c r="I47" s="44"/>
      <c r="J47" s="44"/>
      <c r="K47" s="46"/>
    </row>
    <row r="48" spans="1:13" ht="26.1" customHeight="1" x14ac:dyDescent="0.2">
      <c r="A48" s="42"/>
      <c r="B48" s="59"/>
      <c r="C48" s="48"/>
      <c r="D48" s="69"/>
      <c r="E48" s="43"/>
      <c r="F48" s="44"/>
      <c r="G48" s="45"/>
      <c r="H48" s="44"/>
      <c r="I48" s="44"/>
      <c r="J48" s="44"/>
      <c r="K48" s="46"/>
    </row>
    <row r="49" spans="1:13" ht="26.1" customHeight="1" thickBot="1" x14ac:dyDescent="0.25">
      <c r="A49" s="42"/>
      <c r="B49" s="59"/>
      <c r="C49" s="48"/>
      <c r="D49" s="69"/>
      <c r="E49" s="43"/>
      <c r="F49" s="44"/>
      <c r="G49" s="45"/>
      <c r="H49" s="44"/>
      <c r="I49" s="44"/>
      <c r="J49" s="44"/>
      <c r="K49" s="46"/>
    </row>
    <row r="50" spans="1:13" ht="26.1" customHeight="1" thickBot="1" x14ac:dyDescent="0.25">
      <c r="A50" s="61"/>
      <c r="B50" s="601" t="s">
        <v>253</v>
      </c>
      <c r="C50" s="600"/>
      <c r="D50" s="600"/>
      <c r="E50" s="600"/>
      <c r="F50" s="600"/>
      <c r="G50" s="600"/>
      <c r="H50" s="600"/>
      <c r="I50" s="540"/>
      <c r="J50" s="62">
        <f>SUM(J31:J49)</f>
        <v>683811.36</v>
      </c>
      <c r="K50" s="63"/>
    </row>
    <row r="51" spans="1:13" s="6" customFormat="1" ht="26.1" customHeight="1" x14ac:dyDescent="0.2">
      <c r="A51" s="6" t="str">
        <f>รวมราคา!A1</f>
        <v xml:space="preserve">ประมาณราคาค่าก่อสร้าง </v>
      </c>
      <c r="C51" s="88" t="str">
        <f>รวมราคา!C1</f>
        <v>อาคารที่พักอาศัย (แฟลต) จำนวน 40 ครอบครัว สูง 5 ชั้น (ใต้ถุนโล่ง)</v>
      </c>
      <c r="J51" s="110" t="str">
        <f>รวมราคา!J1</f>
        <v>แบบ ปร.4   แผ่นที่</v>
      </c>
      <c r="K51" s="292">
        <v>5</v>
      </c>
      <c r="L51" s="265"/>
      <c r="M51" s="265"/>
    </row>
    <row r="52" spans="1:13" s="6" customFormat="1" ht="26.1" customHeight="1" x14ac:dyDescent="0.2">
      <c r="A52" s="6" t="str">
        <f>รวมราคา!A2</f>
        <v xml:space="preserve">สถานที่ก่อสร้าง  </v>
      </c>
      <c r="C52" s="447" t="str">
        <f>รวมราคา!C2</f>
        <v>บก.ตชก.ภาค 2 ถ.หลังศูนย์ราชการ ต.ในเมือง อ.เมือง จ.ขอนแก่น</v>
      </c>
      <c r="G52" s="6" t="str">
        <f>รวมราคา!G2</f>
        <v xml:space="preserve">แบบเลขที่ </v>
      </c>
      <c r="H52" s="447" t="str">
        <f>รวมราคา!H2</f>
        <v>ตร.10817/60</v>
      </c>
      <c r="L52" s="265"/>
      <c r="M52" s="265"/>
    </row>
    <row r="53" spans="1:13" s="6" customFormat="1" ht="26.1" customHeight="1" x14ac:dyDescent="0.2">
      <c r="A53" s="6" t="str">
        <f>รวมราคา!A3</f>
        <v xml:space="preserve">ฝ่ายประมาณราคา   </v>
      </c>
      <c r="C5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53" s="6" t="str">
        <f>รวมราคา!G3</f>
        <v>กำหนดราคากลางเมื่อ</v>
      </c>
      <c r="H53" s="108"/>
      <c r="L53" s="265"/>
      <c r="M53" s="265"/>
    </row>
    <row r="54" spans="1:13" s="6" customFormat="1" ht="26.1" customHeight="1" thickBot="1" x14ac:dyDescent="0.25">
      <c r="A54" s="87" t="str">
        <f>รวมราคา!A4</f>
        <v xml:space="preserve">ประมาณราคาโดย  </v>
      </c>
      <c r="B54" s="87"/>
      <c r="C54" s="89"/>
      <c r="D54" s="87"/>
      <c r="E54" s="87"/>
      <c r="F54" s="87"/>
      <c r="G54" s="87"/>
      <c r="H54" s="87"/>
      <c r="I54" s="87"/>
      <c r="J54" s="87"/>
      <c r="L54" s="265"/>
      <c r="M54" s="265"/>
    </row>
    <row r="55" spans="1:13" s="6" customFormat="1" ht="26.1" customHeight="1" thickBot="1" x14ac:dyDescent="0.25">
      <c r="A55" s="522" t="s">
        <v>3</v>
      </c>
      <c r="B55" s="522" t="s">
        <v>4</v>
      </c>
      <c r="C55" s="522"/>
      <c r="D55" s="522" t="s">
        <v>18</v>
      </c>
      <c r="E55" s="600" t="s">
        <v>19</v>
      </c>
      <c r="F55" s="593" t="s">
        <v>20</v>
      </c>
      <c r="G55" s="593"/>
      <c r="H55" s="593" t="s">
        <v>21</v>
      </c>
      <c r="I55" s="593"/>
      <c r="J55" s="39" t="s">
        <v>22</v>
      </c>
      <c r="K55" s="540" t="s">
        <v>8</v>
      </c>
      <c r="L55" s="265"/>
      <c r="M55" s="265"/>
    </row>
    <row r="56" spans="1:13" s="6" customFormat="1" ht="26.1" customHeight="1" thickBot="1" x14ac:dyDescent="0.25">
      <c r="A56" s="522"/>
      <c r="B56" s="522"/>
      <c r="C56" s="522"/>
      <c r="D56" s="522"/>
      <c r="E56" s="600"/>
      <c r="F56" s="441" t="s">
        <v>23</v>
      </c>
      <c r="G56" s="40" t="s">
        <v>24</v>
      </c>
      <c r="H56" s="441" t="s">
        <v>23</v>
      </c>
      <c r="I56" s="441" t="s">
        <v>24</v>
      </c>
      <c r="J56" s="41" t="s">
        <v>25</v>
      </c>
      <c r="K56" s="540"/>
      <c r="L56" s="265"/>
      <c r="M56" s="265"/>
    </row>
    <row r="57" spans="1:13" s="6" customFormat="1" ht="26.1" customHeight="1" x14ac:dyDescent="0.2">
      <c r="A57" s="20"/>
      <c r="B57" s="222">
        <v>2.2000000000000002</v>
      </c>
      <c r="C57" s="221" t="s">
        <v>246</v>
      </c>
      <c r="D57" s="229"/>
      <c r="E57" s="222"/>
      <c r="F57" s="24"/>
      <c r="G57" s="223"/>
      <c r="H57" s="24"/>
      <c r="I57" s="24"/>
      <c r="J57" s="24"/>
      <c r="K57" s="224"/>
      <c r="L57" s="265"/>
      <c r="M57" s="265"/>
    </row>
    <row r="58" spans="1:13" ht="26.1" customHeight="1" x14ac:dyDescent="0.2">
      <c r="A58" s="42"/>
      <c r="B58" s="43" t="s">
        <v>39</v>
      </c>
      <c r="C58" s="48" t="s">
        <v>376</v>
      </c>
      <c r="D58" s="259">
        <f>(3*482)+51.2*7.2</f>
        <v>1814.64</v>
      </c>
      <c r="E58" s="43" t="s">
        <v>40</v>
      </c>
      <c r="F58" s="240">
        <v>100</v>
      </c>
      <c r="G58" s="250">
        <f>D58*F58</f>
        <v>181464</v>
      </c>
      <c r="H58" s="240">
        <v>87</v>
      </c>
      <c r="I58" s="240">
        <f>D58*H58</f>
        <v>157873.68000000002</v>
      </c>
      <c r="J58" s="240">
        <f>G58+I58</f>
        <v>339337.68000000005</v>
      </c>
      <c r="K58" s="257"/>
      <c r="L58" s="287">
        <v>1</v>
      </c>
    </row>
    <row r="59" spans="1:13" ht="26.1" customHeight="1" x14ac:dyDescent="0.2">
      <c r="A59" s="42"/>
      <c r="B59" s="43" t="s">
        <v>375</v>
      </c>
      <c r="C59" s="48" t="s">
        <v>571</v>
      </c>
      <c r="D59" s="259">
        <f>(3*31.9)</f>
        <v>95.699999999999989</v>
      </c>
      <c r="E59" s="43" t="s">
        <v>40</v>
      </c>
      <c r="F59" s="240">
        <v>312</v>
      </c>
      <c r="G59" s="250">
        <f>D59*F59</f>
        <v>29858.399999999998</v>
      </c>
      <c r="H59" s="240">
        <v>75</v>
      </c>
      <c r="I59" s="240">
        <f>D59*H59</f>
        <v>7177.4999999999991</v>
      </c>
      <c r="J59" s="240">
        <f>G59+I59</f>
        <v>37035.899999999994</v>
      </c>
      <c r="K59" s="257"/>
    </row>
    <row r="60" spans="1:13" ht="26.1" customHeight="1" x14ac:dyDescent="0.2">
      <c r="A60" s="42"/>
      <c r="B60" s="43"/>
      <c r="C60" s="48" t="s">
        <v>377</v>
      </c>
      <c r="D60" s="259"/>
      <c r="E60" s="43"/>
      <c r="F60" s="240"/>
      <c r="G60" s="250"/>
      <c r="H60" s="240"/>
      <c r="I60" s="240"/>
      <c r="J60" s="240"/>
      <c r="K60" s="257"/>
    </row>
    <row r="61" spans="1:13" ht="26.1" customHeight="1" x14ac:dyDescent="0.2">
      <c r="A61" s="42"/>
      <c r="B61" s="43" t="s">
        <v>41</v>
      </c>
      <c r="C61" s="48" t="s">
        <v>378</v>
      </c>
      <c r="D61" s="259">
        <v>109</v>
      </c>
      <c r="E61" s="43" t="s">
        <v>40</v>
      </c>
      <c r="F61" s="240">
        <f>300+50</f>
        <v>350</v>
      </c>
      <c r="G61" s="250">
        <f>D61*F61</f>
        <v>38150</v>
      </c>
      <c r="H61" s="240">
        <f>75+30</f>
        <v>105</v>
      </c>
      <c r="I61" s="240">
        <f>D61*H61</f>
        <v>11445</v>
      </c>
      <c r="J61" s="240">
        <f>G61+I61</f>
        <v>49595</v>
      </c>
      <c r="K61" s="257"/>
    </row>
    <row r="62" spans="1:13" ht="26.1" customHeight="1" x14ac:dyDescent="0.2">
      <c r="A62" s="42"/>
      <c r="B62" s="59"/>
      <c r="C62" s="48" t="s">
        <v>379</v>
      </c>
      <c r="D62" s="69"/>
      <c r="E62" s="43"/>
      <c r="F62" s="44"/>
      <c r="G62" s="45"/>
      <c r="H62" s="44"/>
      <c r="I62" s="44"/>
      <c r="J62" s="44"/>
      <c r="K62" s="46"/>
    </row>
    <row r="63" spans="1:13" ht="26.1" customHeight="1" x14ac:dyDescent="0.2">
      <c r="A63" s="42"/>
      <c r="B63" s="59"/>
      <c r="C63" s="48" t="s">
        <v>380</v>
      </c>
      <c r="D63" s="69"/>
      <c r="E63" s="43"/>
      <c r="F63" s="44"/>
      <c r="G63" s="45"/>
      <c r="H63" s="44"/>
      <c r="I63" s="44"/>
      <c r="J63" s="44"/>
      <c r="K63" s="46"/>
    </row>
    <row r="64" spans="1:13" ht="26.1" customHeight="1" x14ac:dyDescent="0.2">
      <c r="A64" s="42"/>
      <c r="B64" s="43" t="s">
        <v>42</v>
      </c>
      <c r="C64" s="48" t="s">
        <v>381</v>
      </c>
      <c r="D64" s="259">
        <v>373</v>
      </c>
      <c r="E64" s="43" t="s">
        <v>40</v>
      </c>
      <c r="F64" s="240">
        <f>251+250</f>
        <v>501</v>
      </c>
      <c r="G64" s="250">
        <f>D64*F64</f>
        <v>186873</v>
      </c>
      <c r="H64" s="240">
        <f>75+25</f>
        <v>100</v>
      </c>
      <c r="I64" s="240">
        <f>D64*H64</f>
        <v>37300</v>
      </c>
      <c r="J64" s="240">
        <f>G64+I64</f>
        <v>224173</v>
      </c>
      <c r="K64" s="257"/>
    </row>
    <row r="65" spans="1:13" ht="26.1" customHeight="1" x14ac:dyDescent="0.2">
      <c r="A65" s="42"/>
      <c r="B65" s="59"/>
      <c r="C65" s="48" t="s">
        <v>382</v>
      </c>
      <c r="D65" s="69"/>
      <c r="E65" s="43"/>
      <c r="F65" s="44"/>
      <c r="G65" s="45"/>
      <c r="H65" s="44"/>
      <c r="I65" s="44"/>
      <c r="J65" s="44"/>
      <c r="K65" s="46"/>
    </row>
    <row r="66" spans="1:13" ht="26.1" customHeight="1" x14ac:dyDescent="0.2">
      <c r="A66" s="42"/>
      <c r="B66" s="59"/>
      <c r="C66" s="48" t="s">
        <v>383</v>
      </c>
      <c r="D66" s="69"/>
      <c r="E66" s="43"/>
      <c r="F66" s="44"/>
      <c r="G66" s="45"/>
      <c r="H66" s="44"/>
      <c r="I66" s="44"/>
      <c r="J66" s="44"/>
      <c r="K66" s="46"/>
    </row>
    <row r="67" spans="1:13" ht="26.1" customHeight="1" x14ac:dyDescent="0.2">
      <c r="A67" s="42"/>
      <c r="B67" s="43"/>
      <c r="C67" s="48"/>
      <c r="D67" s="69"/>
      <c r="E67" s="43"/>
      <c r="F67" s="44"/>
      <c r="G67" s="45"/>
      <c r="H67" s="44"/>
      <c r="I67" s="44"/>
      <c r="J67" s="44"/>
      <c r="K67" s="46"/>
    </row>
    <row r="68" spans="1:13" ht="26.1" customHeight="1" x14ac:dyDescent="0.2">
      <c r="A68" s="42"/>
      <c r="B68" s="43"/>
      <c r="C68" s="48"/>
      <c r="D68" s="69"/>
      <c r="E68" s="43"/>
      <c r="F68" s="44"/>
      <c r="G68" s="45"/>
      <c r="H68" s="44"/>
      <c r="I68" s="44"/>
      <c r="J68" s="44"/>
      <c r="K68" s="46"/>
    </row>
    <row r="69" spans="1:13" ht="26.1" customHeight="1" x14ac:dyDescent="0.2">
      <c r="A69" s="42"/>
      <c r="B69" s="43"/>
      <c r="C69" s="48"/>
      <c r="D69" s="69"/>
      <c r="E69" s="43"/>
      <c r="F69" s="44"/>
      <c r="G69" s="45"/>
      <c r="H69" s="44"/>
      <c r="I69" s="44"/>
      <c r="J69" s="44"/>
      <c r="K69" s="46"/>
    </row>
    <row r="70" spans="1:13" ht="26.1" customHeight="1" x14ac:dyDescent="0.2">
      <c r="A70" s="42"/>
      <c r="B70" s="43"/>
      <c r="C70" s="48"/>
      <c r="D70" s="69"/>
      <c r="E70" s="43"/>
      <c r="F70" s="44"/>
      <c r="G70" s="45"/>
      <c r="H70" s="44"/>
      <c r="I70" s="44"/>
      <c r="J70" s="44"/>
      <c r="K70" s="46"/>
    </row>
    <row r="71" spans="1:13" ht="26.1" customHeight="1" x14ac:dyDescent="0.2">
      <c r="A71" s="42"/>
      <c r="B71" s="43"/>
      <c r="C71" s="48"/>
      <c r="D71" s="69"/>
      <c r="E71" s="43"/>
      <c r="F71" s="44"/>
      <c r="G71" s="45"/>
      <c r="H71" s="44"/>
      <c r="I71" s="44"/>
      <c r="J71" s="44"/>
      <c r="K71" s="46"/>
    </row>
    <row r="72" spans="1:13" ht="26.1" customHeight="1" x14ac:dyDescent="0.2">
      <c r="A72" s="42"/>
      <c r="B72" s="43"/>
      <c r="C72" s="48"/>
      <c r="D72" s="69"/>
      <c r="E72" s="43"/>
      <c r="F72" s="44"/>
      <c r="G72" s="45"/>
      <c r="H72" s="44"/>
      <c r="I72" s="44"/>
      <c r="J72" s="44"/>
      <c r="K72" s="46"/>
    </row>
    <row r="73" spans="1:13" ht="26.1" customHeight="1" x14ac:dyDescent="0.2">
      <c r="A73" s="42"/>
      <c r="B73" s="43"/>
      <c r="C73" s="48"/>
      <c r="D73" s="69"/>
      <c r="E73" s="43"/>
      <c r="F73" s="44"/>
      <c r="G73" s="45"/>
      <c r="H73" s="44"/>
      <c r="I73" s="44"/>
      <c r="J73" s="44"/>
      <c r="K73" s="46"/>
    </row>
    <row r="74" spans="1:13" ht="26.1" customHeight="1" thickBot="1" x14ac:dyDescent="0.25">
      <c r="A74" s="42"/>
      <c r="B74" s="43"/>
      <c r="C74" s="48"/>
      <c r="D74" s="69"/>
      <c r="E74" s="43"/>
      <c r="F74" s="44"/>
      <c r="G74" s="45"/>
      <c r="H74" s="44"/>
      <c r="I74" s="44"/>
      <c r="J74" s="44"/>
      <c r="K74" s="46"/>
    </row>
    <row r="75" spans="1:13" ht="26.1" customHeight="1" thickBot="1" x14ac:dyDescent="0.25">
      <c r="A75" s="61"/>
      <c r="B75" s="601" t="s">
        <v>254</v>
      </c>
      <c r="C75" s="600"/>
      <c r="D75" s="600"/>
      <c r="E75" s="600"/>
      <c r="F75" s="600"/>
      <c r="G75" s="600"/>
      <c r="H75" s="600"/>
      <c r="I75" s="540"/>
      <c r="J75" s="62">
        <f>SUM(J57:J74)</f>
        <v>650141.58000000007</v>
      </c>
      <c r="K75" s="63"/>
    </row>
    <row r="76" spans="1:13" s="6" customFormat="1" ht="26.1" customHeight="1" x14ac:dyDescent="0.2">
      <c r="A76" s="6" t="str">
        <f>รวมราคา!A1</f>
        <v xml:space="preserve">ประมาณราคาค่าก่อสร้าง </v>
      </c>
      <c r="C76" s="88" t="str">
        <f>รวมราคา!C1</f>
        <v>อาคารที่พักอาศัย (แฟลต) จำนวน 40 ครอบครัว สูง 5 ชั้น (ใต้ถุนโล่ง)</v>
      </c>
      <c r="J76" s="110" t="str">
        <f>รวมราคา!J1</f>
        <v>แบบ ปร.4   แผ่นที่</v>
      </c>
      <c r="K76" s="292">
        <v>6</v>
      </c>
      <c r="L76" s="265"/>
      <c r="M76" s="265"/>
    </row>
    <row r="77" spans="1:13" s="6" customFormat="1" ht="26.1" customHeight="1" x14ac:dyDescent="0.2">
      <c r="A77" s="6" t="str">
        <f>รวมราคา!A2</f>
        <v xml:space="preserve">สถานที่ก่อสร้าง  </v>
      </c>
      <c r="C77" s="447" t="str">
        <f>รวมราคา!C2</f>
        <v>บก.ตชก.ภาค 2 ถ.หลังศูนย์ราชการ ต.ในเมือง อ.เมือง จ.ขอนแก่น</v>
      </c>
      <c r="G77" s="6" t="str">
        <f>รวมราคา!G2</f>
        <v xml:space="preserve">แบบเลขที่ </v>
      </c>
      <c r="H77" s="447" t="str">
        <f>รวมราคา!H2</f>
        <v>ตร.10817/60</v>
      </c>
      <c r="L77" s="265"/>
      <c r="M77" s="265"/>
    </row>
    <row r="78" spans="1:13" s="6" customFormat="1" ht="26.1" customHeight="1" x14ac:dyDescent="0.2">
      <c r="A78" s="6" t="str">
        <f>รวมราคา!A3</f>
        <v xml:space="preserve">ฝ่ายประมาณราคา   </v>
      </c>
      <c r="C78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78" s="6" t="str">
        <f>รวมราคา!G3</f>
        <v>กำหนดราคากลางเมื่อ</v>
      </c>
      <c r="H78" s="108"/>
      <c r="L78" s="265"/>
      <c r="M78" s="265"/>
    </row>
    <row r="79" spans="1:13" s="6" customFormat="1" ht="26.1" customHeight="1" thickBot="1" x14ac:dyDescent="0.25">
      <c r="A79" s="87" t="str">
        <f>รวมราคา!A4</f>
        <v xml:space="preserve">ประมาณราคาโดย  </v>
      </c>
      <c r="B79" s="87"/>
      <c r="C79" s="89"/>
      <c r="D79" s="87"/>
      <c r="E79" s="87"/>
      <c r="F79" s="87"/>
      <c r="G79" s="87"/>
      <c r="H79" s="87"/>
      <c r="I79" s="87"/>
      <c r="J79" s="87"/>
      <c r="L79" s="265"/>
      <c r="M79" s="265"/>
    </row>
    <row r="80" spans="1:13" s="6" customFormat="1" ht="26.1" customHeight="1" thickBot="1" x14ac:dyDescent="0.25">
      <c r="A80" s="522" t="s">
        <v>3</v>
      </c>
      <c r="B80" s="522" t="s">
        <v>4</v>
      </c>
      <c r="C80" s="522"/>
      <c r="D80" s="522" t="s">
        <v>18</v>
      </c>
      <c r="E80" s="600" t="s">
        <v>19</v>
      </c>
      <c r="F80" s="593" t="s">
        <v>20</v>
      </c>
      <c r="G80" s="593"/>
      <c r="H80" s="593" t="s">
        <v>21</v>
      </c>
      <c r="I80" s="593"/>
      <c r="J80" s="39" t="s">
        <v>22</v>
      </c>
      <c r="K80" s="540" t="s">
        <v>8</v>
      </c>
      <c r="L80" s="265"/>
      <c r="M80" s="265"/>
    </row>
    <row r="81" spans="1:17" s="6" customFormat="1" ht="26.1" customHeight="1" thickBot="1" x14ac:dyDescent="0.25">
      <c r="A81" s="522"/>
      <c r="B81" s="522"/>
      <c r="C81" s="522"/>
      <c r="D81" s="522"/>
      <c r="E81" s="600"/>
      <c r="F81" s="441" t="s">
        <v>23</v>
      </c>
      <c r="G81" s="40" t="s">
        <v>24</v>
      </c>
      <c r="H81" s="441" t="s">
        <v>23</v>
      </c>
      <c r="I81" s="441" t="s">
        <v>24</v>
      </c>
      <c r="J81" s="41" t="s">
        <v>25</v>
      </c>
      <c r="K81" s="540"/>
      <c r="L81" s="265"/>
      <c r="M81" s="265"/>
    </row>
    <row r="82" spans="1:17" s="6" customFormat="1" ht="26.1" customHeight="1" x14ac:dyDescent="0.2">
      <c r="A82" s="20"/>
      <c r="B82" s="222">
        <v>2.2999999999999998</v>
      </c>
      <c r="C82" s="221" t="s">
        <v>247</v>
      </c>
      <c r="D82" s="229"/>
      <c r="E82" s="222"/>
      <c r="F82" s="24"/>
      <c r="G82" s="223"/>
      <c r="H82" s="24"/>
      <c r="I82" s="24"/>
      <c r="J82" s="24"/>
      <c r="K82" s="224"/>
      <c r="L82" s="265" t="s">
        <v>40</v>
      </c>
      <c r="M82" s="265" t="s">
        <v>410</v>
      </c>
      <c r="P82" s="6" t="s">
        <v>462</v>
      </c>
    </row>
    <row r="83" spans="1:17" ht="26.1" customHeight="1" x14ac:dyDescent="0.2">
      <c r="A83" s="42"/>
      <c r="B83" s="43" t="s">
        <v>43</v>
      </c>
      <c r="C83" s="48" t="s">
        <v>384</v>
      </c>
      <c r="D83" s="259">
        <f>P83</f>
        <v>3996.8</v>
      </c>
      <c r="E83" s="43" t="s">
        <v>40</v>
      </c>
      <c r="F83" s="240">
        <v>275</v>
      </c>
      <c r="G83" s="250">
        <f>D83*F83</f>
        <v>1099120</v>
      </c>
      <c r="H83" s="240">
        <v>57</v>
      </c>
      <c r="I83" s="240">
        <f>D83*H83</f>
        <v>227817.60000000001</v>
      </c>
      <c r="J83" s="240">
        <f>G83+I83</f>
        <v>1326937.6000000001</v>
      </c>
      <c r="K83" s="293"/>
      <c r="L83" s="287">
        <f>(218+37.5+12.25+9.25+5+39.4+5)*2.88+(21*2.8)+(136*1.13)</f>
        <v>1152.5119999999999</v>
      </c>
      <c r="M83" s="287">
        <f t="shared" ref="M83:M89" si="3">L83*5</f>
        <v>5762.5599999999995</v>
      </c>
      <c r="P83" s="303">
        <f>Q83/5*4</f>
        <v>3996.8</v>
      </c>
      <c r="Q83" s="259">
        <f>5763-631-56-80</f>
        <v>4996</v>
      </c>
    </row>
    <row r="84" spans="1:17" ht="26.1" customHeight="1" x14ac:dyDescent="0.2">
      <c r="A84" s="42"/>
      <c r="B84" s="43" t="s">
        <v>44</v>
      </c>
      <c r="C84" s="48" t="s">
        <v>411</v>
      </c>
      <c r="D84" s="259">
        <f t="shared" ref="D84:D90" si="4">P84</f>
        <v>6088</v>
      </c>
      <c r="E84" s="43" t="s">
        <v>40</v>
      </c>
      <c r="F84" s="44">
        <v>120</v>
      </c>
      <c r="G84" s="45">
        <f>F84*D84</f>
        <v>730560</v>
      </c>
      <c r="H84" s="44">
        <v>80</v>
      </c>
      <c r="I84" s="44">
        <f>H84*D84</f>
        <v>487040</v>
      </c>
      <c r="J84" s="44">
        <f>I84+G84</f>
        <v>1217600</v>
      </c>
      <c r="K84" s="294"/>
      <c r="L84" s="287">
        <f>(218+218+38+40)*2.88+(21*2.8)+(136*1.13)</f>
        <v>1692.8</v>
      </c>
      <c r="M84" s="287">
        <f t="shared" si="3"/>
        <v>8464</v>
      </c>
      <c r="P84" s="303">
        <f t="shared" ref="P84:P90" si="5">Q84/5*4</f>
        <v>6088</v>
      </c>
      <c r="Q84" s="69">
        <f>8464+337+207-631-631-56-80</f>
        <v>7610</v>
      </c>
    </row>
    <row r="85" spans="1:17" ht="26.1" customHeight="1" x14ac:dyDescent="0.2">
      <c r="A85" s="42"/>
      <c r="B85" s="43" t="s">
        <v>45</v>
      </c>
      <c r="C85" s="48" t="s">
        <v>385</v>
      </c>
      <c r="D85" s="259">
        <f t="shared" si="4"/>
        <v>548</v>
      </c>
      <c r="E85" s="43" t="s">
        <v>40</v>
      </c>
      <c r="F85" s="44">
        <v>489</v>
      </c>
      <c r="G85" s="45">
        <f>F85*D85</f>
        <v>267972</v>
      </c>
      <c r="H85" s="44">
        <v>181</v>
      </c>
      <c r="I85" s="44">
        <f>H85*D85</f>
        <v>99188</v>
      </c>
      <c r="J85" s="44">
        <f>I85+G85</f>
        <v>367160</v>
      </c>
      <c r="K85" s="57"/>
      <c r="L85" s="287">
        <f>(37.5+13+13+13)*2</f>
        <v>153</v>
      </c>
      <c r="M85" s="287">
        <f t="shared" si="3"/>
        <v>765</v>
      </c>
      <c r="P85" s="303">
        <f t="shared" si="5"/>
        <v>548</v>
      </c>
      <c r="Q85" s="69">
        <f>765-80</f>
        <v>685</v>
      </c>
    </row>
    <row r="86" spans="1:17" ht="26.1" customHeight="1" x14ac:dyDescent="0.2">
      <c r="A86" s="42"/>
      <c r="B86" s="43"/>
      <c r="C86" s="48" t="s">
        <v>386</v>
      </c>
      <c r="D86" s="259"/>
      <c r="E86" s="43"/>
      <c r="F86" s="44"/>
      <c r="G86" s="45"/>
      <c r="H86" s="44"/>
      <c r="I86" s="44"/>
      <c r="J86" s="44"/>
      <c r="K86" s="57"/>
      <c r="L86" s="287">
        <f>(37.5+13+13+13)*0.88</f>
        <v>67.320000000000007</v>
      </c>
      <c r="M86" s="287">
        <f t="shared" si="3"/>
        <v>336.6</v>
      </c>
      <c r="P86" s="303">
        <f t="shared" si="5"/>
        <v>0</v>
      </c>
      <c r="Q86" s="69"/>
    </row>
    <row r="87" spans="1:17" ht="26.1" customHeight="1" x14ac:dyDescent="0.2">
      <c r="A87" s="42"/>
      <c r="B87" s="43" t="s">
        <v>46</v>
      </c>
      <c r="C87" s="48" t="s">
        <v>387</v>
      </c>
      <c r="D87" s="259">
        <f t="shared" si="4"/>
        <v>753.6</v>
      </c>
      <c r="E87" s="43" t="s">
        <v>40</v>
      </c>
      <c r="F87" s="240">
        <v>101</v>
      </c>
      <c r="G87" s="250">
        <f t="shared" ref="G87:G93" si="6">D87*F87</f>
        <v>76113.600000000006</v>
      </c>
      <c r="H87" s="240">
        <v>82</v>
      </c>
      <c r="I87" s="240">
        <f t="shared" ref="I87:I93" si="7">D87*H87</f>
        <v>61795.200000000004</v>
      </c>
      <c r="J87" s="240">
        <f t="shared" ref="J87:J93" si="8">G87+I87</f>
        <v>137908.80000000002</v>
      </c>
      <c r="K87" s="293"/>
      <c r="L87" s="287">
        <f>(40+5)*2.88+(21*2.8)</f>
        <v>188.39999999999998</v>
      </c>
      <c r="M87" s="287">
        <f t="shared" si="3"/>
        <v>941.99999999999989</v>
      </c>
      <c r="P87" s="303">
        <f t="shared" si="5"/>
        <v>753.6</v>
      </c>
      <c r="Q87" s="259">
        <v>942</v>
      </c>
    </row>
    <row r="88" spans="1:17" ht="26.1" customHeight="1" x14ac:dyDescent="0.2">
      <c r="A88" s="42"/>
      <c r="B88" s="43" t="s">
        <v>395</v>
      </c>
      <c r="C88" s="48" t="s">
        <v>389</v>
      </c>
      <c r="D88" s="259">
        <f t="shared" si="4"/>
        <v>180</v>
      </c>
      <c r="E88" s="43" t="s">
        <v>40</v>
      </c>
      <c r="F88" s="240">
        <v>461</v>
      </c>
      <c r="G88" s="250">
        <f t="shared" si="6"/>
        <v>82980</v>
      </c>
      <c r="H88" s="240">
        <v>166</v>
      </c>
      <c r="I88" s="240">
        <f t="shared" si="7"/>
        <v>29880</v>
      </c>
      <c r="J88" s="240">
        <f t="shared" si="8"/>
        <v>112860</v>
      </c>
      <c r="K88" s="236"/>
      <c r="L88" s="287">
        <f>(10+10+5+5)*1.5</f>
        <v>45</v>
      </c>
      <c r="M88" s="287">
        <f t="shared" si="3"/>
        <v>225</v>
      </c>
      <c r="N88" s="447">
        <f>(10+10+5+5)*1.38</f>
        <v>41.4</v>
      </c>
      <c r="O88" s="447">
        <f>N88*5</f>
        <v>207</v>
      </c>
      <c r="P88" s="303">
        <f t="shared" si="5"/>
        <v>180</v>
      </c>
      <c r="Q88" s="259">
        <v>225</v>
      </c>
    </row>
    <row r="89" spans="1:17" ht="26.1" customHeight="1" x14ac:dyDescent="0.2">
      <c r="A89" s="42"/>
      <c r="B89" s="43" t="s">
        <v>396</v>
      </c>
      <c r="C89" s="48" t="s">
        <v>390</v>
      </c>
      <c r="D89" s="259">
        <f t="shared" si="4"/>
        <v>150.4</v>
      </c>
      <c r="E89" s="43" t="s">
        <v>40</v>
      </c>
      <c r="F89" s="240">
        <v>245</v>
      </c>
      <c r="G89" s="250">
        <f t="shared" si="6"/>
        <v>36848</v>
      </c>
      <c r="H89" s="240">
        <v>89</v>
      </c>
      <c r="I89" s="240">
        <f t="shared" si="7"/>
        <v>13385.6</v>
      </c>
      <c r="J89" s="240">
        <f t="shared" si="8"/>
        <v>50233.599999999999</v>
      </c>
      <c r="K89" s="236"/>
      <c r="L89" s="287">
        <f>(13)*2.88</f>
        <v>37.44</v>
      </c>
      <c r="M89" s="287">
        <f t="shared" si="3"/>
        <v>187.2</v>
      </c>
      <c r="P89" s="303">
        <f t="shared" si="5"/>
        <v>150.4</v>
      </c>
      <c r="Q89" s="259">
        <v>188</v>
      </c>
    </row>
    <row r="90" spans="1:17" ht="26.1" customHeight="1" x14ac:dyDescent="0.2">
      <c r="A90" s="42"/>
      <c r="B90" s="43" t="s">
        <v>397</v>
      </c>
      <c r="C90" s="48" t="s">
        <v>392</v>
      </c>
      <c r="D90" s="259">
        <f t="shared" si="4"/>
        <v>2505.6</v>
      </c>
      <c r="E90" s="43" t="s">
        <v>71</v>
      </c>
      <c r="F90" s="240">
        <v>79</v>
      </c>
      <c r="G90" s="250">
        <f t="shared" si="6"/>
        <v>197942.39999999999</v>
      </c>
      <c r="H90" s="240">
        <v>44</v>
      </c>
      <c r="I90" s="240">
        <f t="shared" si="7"/>
        <v>110246.39999999999</v>
      </c>
      <c r="J90" s="240">
        <f t="shared" si="8"/>
        <v>308188.79999999999</v>
      </c>
      <c r="K90" s="257"/>
      <c r="L90" s="291"/>
      <c r="P90" s="303">
        <f t="shared" si="5"/>
        <v>2505.6</v>
      </c>
      <c r="Q90" s="259">
        <f>62.64*50</f>
        <v>3132</v>
      </c>
    </row>
    <row r="91" spans="1:17" ht="26.1" customHeight="1" x14ac:dyDescent="0.2">
      <c r="A91" s="42"/>
      <c r="B91" s="43" t="s">
        <v>398</v>
      </c>
      <c r="C91" s="48" t="s">
        <v>393</v>
      </c>
      <c r="D91" s="259">
        <v>44</v>
      </c>
      <c r="E91" s="43" t="s">
        <v>40</v>
      </c>
      <c r="F91" s="240">
        <v>335</v>
      </c>
      <c r="G91" s="250">
        <f t="shared" si="6"/>
        <v>14740</v>
      </c>
      <c r="H91" s="240">
        <v>95</v>
      </c>
      <c r="I91" s="240">
        <f t="shared" si="7"/>
        <v>4180</v>
      </c>
      <c r="J91" s="240">
        <f t="shared" si="8"/>
        <v>18920</v>
      </c>
      <c r="K91" s="236"/>
      <c r="L91" s="287">
        <f>(21)*2.2-2.4</f>
        <v>43.800000000000004</v>
      </c>
      <c r="P91" s="303"/>
      <c r="Q91" s="259">
        <v>44</v>
      </c>
    </row>
    <row r="92" spans="1:17" ht="26.1" customHeight="1" x14ac:dyDescent="0.2">
      <c r="A92" s="42"/>
      <c r="B92" s="43" t="s">
        <v>391</v>
      </c>
      <c r="C92" s="48" t="s">
        <v>394</v>
      </c>
      <c r="D92" s="259">
        <f>(22*7)+(1*50)</f>
        <v>204</v>
      </c>
      <c r="E92" s="43" t="s">
        <v>40</v>
      </c>
      <c r="F92" s="240">
        <v>2500</v>
      </c>
      <c r="G92" s="250">
        <f t="shared" si="6"/>
        <v>510000</v>
      </c>
      <c r="H92" s="240">
        <v>0</v>
      </c>
      <c r="I92" s="240">
        <f t="shared" si="7"/>
        <v>0</v>
      </c>
      <c r="J92" s="240">
        <f t="shared" si="8"/>
        <v>510000</v>
      </c>
      <c r="K92" s="236" t="s">
        <v>87</v>
      </c>
      <c r="P92" s="303"/>
      <c r="Q92" s="259">
        <f>(22*7)+(1*50)</f>
        <v>204</v>
      </c>
    </row>
    <row r="93" spans="1:17" ht="26.1" customHeight="1" x14ac:dyDescent="0.2">
      <c r="A93" s="42"/>
      <c r="B93" s="43" t="s">
        <v>388</v>
      </c>
      <c r="C93" s="48" t="s">
        <v>412</v>
      </c>
      <c r="D93" s="259">
        <f>(4*60)</f>
        <v>240</v>
      </c>
      <c r="E93" s="43" t="s">
        <v>71</v>
      </c>
      <c r="F93" s="240">
        <v>900</v>
      </c>
      <c r="G93" s="250">
        <f t="shared" si="6"/>
        <v>216000</v>
      </c>
      <c r="H93" s="240">
        <v>0</v>
      </c>
      <c r="I93" s="240">
        <f t="shared" si="7"/>
        <v>0</v>
      </c>
      <c r="J93" s="240">
        <f t="shared" si="8"/>
        <v>216000</v>
      </c>
      <c r="K93" s="236" t="s">
        <v>87</v>
      </c>
      <c r="P93" s="303"/>
      <c r="Q93" s="259">
        <f>45+(4*60)</f>
        <v>285</v>
      </c>
    </row>
    <row r="94" spans="1:17" ht="26.1" customHeight="1" x14ac:dyDescent="0.2">
      <c r="A94" s="42"/>
      <c r="B94" s="59"/>
      <c r="C94" s="48" t="s">
        <v>413</v>
      </c>
      <c r="D94" s="70"/>
      <c r="E94" s="43"/>
      <c r="F94" s="44"/>
      <c r="G94" s="45"/>
      <c r="H94" s="44"/>
      <c r="I94" s="44"/>
      <c r="J94" s="44"/>
      <c r="K94" s="46"/>
      <c r="Q94" s="70"/>
    </row>
    <row r="95" spans="1:17" ht="26.1" customHeight="1" x14ac:dyDescent="0.2">
      <c r="A95" s="42"/>
      <c r="B95" s="59"/>
      <c r="C95" s="48"/>
      <c r="D95" s="69"/>
      <c r="E95" s="43"/>
      <c r="F95" s="44"/>
      <c r="G95" s="45"/>
      <c r="H95" s="44"/>
      <c r="I95" s="44"/>
      <c r="J95" s="44"/>
      <c r="K95" s="57"/>
    </row>
    <row r="96" spans="1:17" ht="26.1" customHeight="1" x14ac:dyDescent="0.2">
      <c r="A96" s="42"/>
      <c r="B96" s="59"/>
      <c r="C96" s="48"/>
      <c r="D96" s="70"/>
      <c r="E96" s="43"/>
      <c r="F96" s="44"/>
      <c r="G96" s="45"/>
      <c r="H96" s="44"/>
      <c r="I96" s="44"/>
      <c r="J96" s="44"/>
      <c r="K96" s="46"/>
    </row>
    <row r="97" spans="1:13" ht="26.1" customHeight="1" x14ac:dyDescent="0.2">
      <c r="A97" s="42"/>
      <c r="B97" s="59"/>
      <c r="C97" s="48"/>
      <c r="D97" s="69"/>
      <c r="E97" s="43"/>
      <c r="F97" s="44"/>
      <c r="G97" s="45"/>
      <c r="H97" s="44"/>
      <c r="I97" s="44"/>
      <c r="J97" s="44"/>
      <c r="K97" s="46"/>
    </row>
    <row r="98" spans="1:13" ht="26.1" customHeight="1" x14ac:dyDescent="0.2">
      <c r="A98" s="42"/>
      <c r="B98" s="59"/>
      <c r="C98" s="48"/>
      <c r="D98" s="72"/>
      <c r="E98" s="43"/>
      <c r="F98" s="44"/>
      <c r="G98" s="45"/>
      <c r="H98" s="44"/>
      <c r="I98" s="44"/>
      <c r="J98" s="44"/>
      <c r="K98" s="46"/>
    </row>
    <row r="99" spans="1:13" ht="26.1" customHeight="1" thickBot="1" x14ac:dyDescent="0.25">
      <c r="A99" s="42"/>
      <c r="B99" s="59"/>
      <c r="C99" s="48"/>
      <c r="D99" s="72"/>
      <c r="E99" s="43"/>
      <c r="F99" s="44"/>
      <c r="G99" s="45"/>
      <c r="H99" s="44"/>
      <c r="I99" s="44"/>
      <c r="J99" s="44"/>
      <c r="K99" s="46"/>
    </row>
    <row r="100" spans="1:13" ht="26.1" customHeight="1" thickBot="1" x14ac:dyDescent="0.25">
      <c r="A100" s="61"/>
      <c r="B100" s="601" t="s">
        <v>255</v>
      </c>
      <c r="C100" s="600"/>
      <c r="D100" s="600"/>
      <c r="E100" s="600"/>
      <c r="F100" s="600"/>
      <c r="G100" s="600"/>
      <c r="H100" s="600"/>
      <c r="I100" s="540"/>
      <c r="J100" s="62">
        <f>SUM(J82:J99)</f>
        <v>4265808.8</v>
      </c>
      <c r="K100" s="63"/>
    </row>
    <row r="101" spans="1:13" s="6" customFormat="1" ht="26.1" customHeight="1" x14ac:dyDescent="0.2">
      <c r="A101" s="6" t="str">
        <f>รวมราคา!A1</f>
        <v xml:space="preserve">ประมาณราคาค่าก่อสร้าง </v>
      </c>
      <c r="C101" s="88" t="str">
        <f>รวมราคา!C1</f>
        <v>อาคารที่พักอาศัย (แฟลต) จำนวน 40 ครอบครัว สูง 5 ชั้น (ใต้ถุนโล่ง)</v>
      </c>
      <c r="J101" s="110" t="str">
        <f>รวมราคา!J1</f>
        <v>แบบ ปร.4   แผ่นที่</v>
      </c>
      <c r="K101" s="292">
        <v>7</v>
      </c>
      <c r="L101" s="265"/>
      <c r="M101" s="265"/>
    </row>
    <row r="102" spans="1:13" s="6" customFormat="1" ht="26.1" customHeight="1" x14ac:dyDescent="0.2">
      <c r="A102" s="6" t="str">
        <f>รวมราคา!A2</f>
        <v xml:space="preserve">สถานที่ก่อสร้าง  </v>
      </c>
      <c r="C102" s="447" t="str">
        <f>รวมราคา!C2</f>
        <v>บก.ตชก.ภาค 2 ถ.หลังศูนย์ราชการ ต.ในเมือง อ.เมือง จ.ขอนแก่น</v>
      </c>
      <c r="G102" s="6" t="str">
        <f>รวมราคา!G2</f>
        <v xml:space="preserve">แบบเลขที่ </v>
      </c>
      <c r="H102" s="447" t="str">
        <f>รวมราคา!H2</f>
        <v>ตร.10817/60</v>
      </c>
      <c r="L102" s="265"/>
      <c r="M102" s="265"/>
    </row>
    <row r="103" spans="1:13" s="6" customFormat="1" ht="26.1" customHeight="1" x14ac:dyDescent="0.2">
      <c r="A103" s="6" t="str">
        <f>รวมราคา!A3</f>
        <v xml:space="preserve">ฝ่ายประมาณราคา   </v>
      </c>
      <c r="C10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103" s="6" t="str">
        <f>รวมราคา!G3</f>
        <v>กำหนดราคากลางเมื่อ</v>
      </c>
      <c r="H103" s="108"/>
      <c r="L103" s="265"/>
      <c r="M103" s="265"/>
    </row>
    <row r="104" spans="1:13" s="6" customFormat="1" ht="26.1" customHeight="1" thickBot="1" x14ac:dyDescent="0.25">
      <c r="A104" s="87" t="str">
        <f>รวมราคา!A4</f>
        <v xml:space="preserve">ประมาณราคาโดย  </v>
      </c>
      <c r="B104" s="87"/>
      <c r="C104" s="89"/>
      <c r="D104" s="87"/>
      <c r="E104" s="87"/>
      <c r="F104" s="87"/>
      <c r="G104" s="87"/>
      <c r="H104" s="87"/>
      <c r="I104" s="87"/>
      <c r="J104" s="87"/>
      <c r="L104" s="265"/>
      <c r="M104" s="265"/>
    </row>
    <row r="105" spans="1:13" s="6" customFormat="1" ht="26.1" customHeight="1" thickBot="1" x14ac:dyDescent="0.25">
      <c r="A105" s="522" t="s">
        <v>3</v>
      </c>
      <c r="B105" s="522" t="s">
        <v>4</v>
      </c>
      <c r="C105" s="522"/>
      <c r="D105" s="522" t="s">
        <v>18</v>
      </c>
      <c r="E105" s="600" t="s">
        <v>19</v>
      </c>
      <c r="F105" s="593" t="s">
        <v>20</v>
      </c>
      <c r="G105" s="593"/>
      <c r="H105" s="593" t="s">
        <v>21</v>
      </c>
      <c r="I105" s="593"/>
      <c r="J105" s="39" t="s">
        <v>22</v>
      </c>
      <c r="K105" s="540" t="s">
        <v>8</v>
      </c>
      <c r="L105" s="265"/>
      <c r="M105" s="265"/>
    </row>
    <row r="106" spans="1:13" s="6" customFormat="1" ht="26.1" customHeight="1" thickBot="1" x14ac:dyDescent="0.25">
      <c r="A106" s="522"/>
      <c r="B106" s="522"/>
      <c r="C106" s="522"/>
      <c r="D106" s="522"/>
      <c r="E106" s="600"/>
      <c r="F106" s="441" t="s">
        <v>23</v>
      </c>
      <c r="G106" s="40" t="s">
        <v>24</v>
      </c>
      <c r="H106" s="441" t="s">
        <v>23</v>
      </c>
      <c r="I106" s="441" t="s">
        <v>24</v>
      </c>
      <c r="J106" s="41" t="s">
        <v>25</v>
      </c>
      <c r="K106" s="540"/>
      <c r="L106" s="265"/>
      <c r="M106" s="265"/>
    </row>
    <row r="107" spans="1:13" s="6" customFormat="1" ht="26.1" customHeight="1" x14ac:dyDescent="0.2">
      <c r="A107" s="20"/>
      <c r="B107" s="222">
        <v>2.4</v>
      </c>
      <c r="C107" s="221" t="s">
        <v>248</v>
      </c>
      <c r="D107" s="229"/>
      <c r="E107" s="222"/>
      <c r="F107" s="24"/>
      <c r="G107" s="223"/>
      <c r="H107" s="24"/>
      <c r="I107" s="24"/>
      <c r="J107" s="24"/>
      <c r="K107" s="224"/>
      <c r="L107" s="265"/>
      <c r="M107" s="265"/>
    </row>
    <row r="108" spans="1:13" ht="26.1" customHeight="1" x14ac:dyDescent="0.2">
      <c r="A108" s="42"/>
      <c r="B108" s="43" t="s">
        <v>47</v>
      </c>
      <c r="C108" s="48" t="s">
        <v>399</v>
      </c>
      <c r="D108" s="69">
        <f>268*4</f>
        <v>1072</v>
      </c>
      <c r="E108" s="43" t="s">
        <v>40</v>
      </c>
      <c r="F108" s="44">
        <v>401</v>
      </c>
      <c r="G108" s="45">
        <f>F108*D108</f>
        <v>429872</v>
      </c>
      <c r="H108" s="44">
        <v>50</v>
      </c>
      <c r="I108" s="44">
        <f>H108*D108</f>
        <v>53600</v>
      </c>
      <c r="J108" s="44">
        <f>I108+G108</f>
        <v>483472</v>
      </c>
      <c r="K108" s="295"/>
    </row>
    <row r="109" spans="1:13" ht="26.1" customHeight="1" x14ac:dyDescent="0.2">
      <c r="A109" s="42"/>
      <c r="B109" s="43" t="s">
        <v>48</v>
      </c>
      <c r="C109" s="48" t="s">
        <v>401</v>
      </c>
      <c r="D109" s="259">
        <v>587</v>
      </c>
      <c r="E109" s="43" t="s">
        <v>40</v>
      </c>
      <c r="F109" s="240">
        <v>0</v>
      </c>
      <c r="G109" s="250">
        <f>D109*F109</f>
        <v>0</v>
      </c>
      <c r="H109" s="240">
        <v>55</v>
      </c>
      <c r="I109" s="240">
        <f>D109*H109</f>
        <v>32285</v>
      </c>
      <c r="J109" s="240">
        <f>G109+I109</f>
        <v>32285</v>
      </c>
      <c r="K109" s="296"/>
      <c r="L109" s="287">
        <f>(4*109)+(16*8)+3.2*3.6*2</f>
        <v>587.04</v>
      </c>
    </row>
    <row r="110" spans="1:13" ht="26.1" customHeight="1" x14ac:dyDescent="0.2">
      <c r="A110" s="42"/>
      <c r="B110" s="43" t="s">
        <v>49</v>
      </c>
      <c r="C110" s="48" t="s">
        <v>402</v>
      </c>
      <c r="D110" s="69">
        <f>138*4</f>
        <v>552</v>
      </c>
      <c r="E110" s="43" t="s">
        <v>40</v>
      </c>
      <c r="F110" s="44">
        <v>400</v>
      </c>
      <c r="G110" s="45">
        <f>F110*D110</f>
        <v>220800</v>
      </c>
      <c r="H110" s="44">
        <v>184</v>
      </c>
      <c r="I110" s="44">
        <f>H110*D110</f>
        <v>101568</v>
      </c>
      <c r="J110" s="44">
        <f>I110+G110</f>
        <v>322368</v>
      </c>
      <c r="K110" s="57"/>
    </row>
    <row r="111" spans="1:13" ht="26.1" customHeight="1" x14ac:dyDescent="0.2">
      <c r="A111" s="42"/>
      <c r="B111" s="43" t="s">
        <v>50</v>
      </c>
      <c r="C111" s="48" t="s">
        <v>403</v>
      </c>
      <c r="D111" s="259">
        <f>(20*4)+39</f>
        <v>119</v>
      </c>
      <c r="E111" s="43" t="s">
        <v>40</v>
      </c>
      <c r="F111" s="240">
        <v>0</v>
      </c>
      <c r="G111" s="250">
        <f>D111*F111</f>
        <v>0</v>
      </c>
      <c r="H111" s="240">
        <v>50</v>
      </c>
      <c r="I111" s="240">
        <f>D111*H111</f>
        <v>5950</v>
      </c>
      <c r="J111" s="240">
        <f>G111+I111</f>
        <v>5950</v>
      </c>
      <c r="K111" s="296"/>
    </row>
    <row r="112" spans="1:13" ht="26.1" customHeight="1" x14ac:dyDescent="0.2">
      <c r="A112" s="42"/>
      <c r="B112" s="43" t="s">
        <v>405</v>
      </c>
      <c r="C112" s="48" t="s">
        <v>404</v>
      </c>
      <c r="D112" s="259">
        <v>580</v>
      </c>
      <c r="E112" s="43" t="s">
        <v>40</v>
      </c>
      <c r="F112" s="240">
        <v>0</v>
      </c>
      <c r="G112" s="250">
        <f>D112*F112</f>
        <v>0</v>
      </c>
      <c r="H112" s="240">
        <v>40</v>
      </c>
      <c r="I112" s="240">
        <f>D112*H112</f>
        <v>23200</v>
      </c>
      <c r="J112" s="240">
        <f>G112+I112</f>
        <v>23200</v>
      </c>
      <c r="K112" s="296"/>
      <c r="L112" s="287">
        <f>((7.2+1.85*2)*(51.2+2.15*2))-3.2*3.6*2</f>
        <v>581.91000000000008</v>
      </c>
    </row>
    <row r="113" spans="1:13" ht="26.1" customHeight="1" x14ac:dyDescent="0.2">
      <c r="A113" s="42"/>
      <c r="B113" s="43" t="s">
        <v>406</v>
      </c>
      <c r="C113" s="48" t="s">
        <v>400</v>
      </c>
      <c r="D113" s="259">
        <f>25*40</f>
        <v>1000</v>
      </c>
      <c r="E113" s="43" t="s">
        <v>71</v>
      </c>
      <c r="F113" s="240">
        <v>110</v>
      </c>
      <c r="G113" s="250">
        <f>D113*F113</f>
        <v>110000</v>
      </c>
      <c r="H113" s="240">
        <v>40</v>
      </c>
      <c r="I113" s="240">
        <f>D113*H113</f>
        <v>40000</v>
      </c>
      <c r="J113" s="240">
        <f>G113+I113</f>
        <v>150000</v>
      </c>
      <c r="K113" s="257"/>
    </row>
    <row r="114" spans="1:13" ht="26.1" customHeight="1" x14ac:dyDescent="0.2">
      <c r="A114" s="42"/>
      <c r="B114" s="59"/>
      <c r="C114" s="48"/>
      <c r="D114" s="72"/>
      <c r="E114" s="43"/>
      <c r="F114" s="44"/>
      <c r="G114" s="45"/>
      <c r="H114" s="44"/>
      <c r="I114" s="44"/>
      <c r="J114" s="44"/>
      <c r="K114" s="46"/>
    </row>
    <row r="115" spans="1:13" ht="26.1" customHeight="1" x14ac:dyDescent="0.2">
      <c r="A115" s="42"/>
      <c r="B115" s="59"/>
      <c r="C115" s="48"/>
      <c r="D115" s="69"/>
      <c r="E115" s="43"/>
      <c r="F115" s="44"/>
      <c r="G115" s="45"/>
      <c r="H115" s="44"/>
      <c r="I115" s="44"/>
      <c r="J115" s="44"/>
      <c r="K115" s="46"/>
    </row>
    <row r="116" spans="1:13" ht="26.1" customHeight="1" x14ac:dyDescent="0.2">
      <c r="A116" s="42"/>
      <c r="B116" s="59"/>
      <c r="C116" s="48"/>
      <c r="D116" s="72"/>
      <c r="E116" s="43"/>
      <c r="F116" s="44"/>
      <c r="G116" s="45"/>
      <c r="H116" s="44"/>
      <c r="I116" s="44"/>
      <c r="J116" s="44"/>
      <c r="K116" s="46"/>
    </row>
    <row r="117" spans="1:13" ht="26.1" customHeight="1" x14ac:dyDescent="0.2">
      <c r="A117" s="42"/>
      <c r="B117" s="59"/>
      <c r="C117" s="48"/>
      <c r="D117" s="69"/>
      <c r="E117" s="43"/>
      <c r="F117" s="44"/>
      <c r="G117" s="45"/>
      <c r="H117" s="44"/>
      <c r="I117" s="44"/>
      <c r="J117" s="44"/>
      <c r="K117" s="46"/>
    </row>
    <row r="118" spans="1:13" ht="26.1" customHeight="1" x14ac:dyDescent="0.2">
      <c r="A118" s="42"/>
      <c r="B118" s="59"/>
      <c r="C118" s="48"/>
      <c r="D118" s="69"/>
      <c r="E118" s="43"/>
      <c r="F118" s="44"/>
      <c r="G118" s="45"/>
      <c r="H118" s="44"/>
      <c r="I118" s="44"/>
      <c r="J118" s="44"/>
      <c r="K118" s="46"/>
    </row>
    <row r="119" spans="1:13" ht="26.1" customHeight="1" x14ac:dyDescent="0.2">
      <c r="A119" s="42"/>
      <c r="B119" s="59"/>
      <c r="C119" s="48"/>
      <c r="D119" s="69"/>
      <c r="E119" s="43"/>
      <c r="F119" s="44"/>
      <c r="G119" s="45"/>
      <c r="H119" s="44"/>
      <c r="I119" s="44"/>
      <c r="J119" s="44"/>
      <c r="K119" s="46"/>
    </row>
    <row r="120" spans="1:13" ht="26.1" customHeight="1" x14ac:dyDescent="0.2">
      <c r="A120" s="42"/>
      <c r="B120" s="59"/>
      <c r="C120" s="48"/>
      <c r="D120" s="69"/>
      <c r="E120" s="43"/>
      <c r="F120" s="44"/>
      <c r="G120" s="45"/>
      <c r="H120" s="44"/>
      <c r="I120" s="44"/>
      <c r="J120" s="44"/>
      <c r="K120" s="46"/>
    </row>
    <row r="121" spans="1:13" ht="26.1" customHeight="1" x14ac:dyDescent="0.2">
      <c r="A121" s="42"/>
      <c r="B121" s="43"/>
      <c r="C121" s="48"/>
      <c r="D121" s="69"/>
      <c r="E121" s="43"/>
      <c r="F121" s="44"/>
      <c r="G121" s="45"/>
      <c r="H121" s="44"/>
      <c r="I121" s="44"/>
      <c r="J121" s="44"/>
      <c r="K121" s="46"/>
    </row>
    <row r="122" spans="1:13" ht="26.1" customHeight="1" x14ac:dyDescent="0.2">
      <c r="A122" s="42"/>
      <c r="B122" s="43"/>
      <c r="C122" s="48"/>
      <c r="D122" s="69"/>
      <c r="E122" s="43"/>
      <c r="F122" s="44"/>
      <c r="G122" s="45"/>
      <c r="H122" s="44"/>
      <c r="I122" s="44"/>
      <c r="J122" s="44"/>
      <c r="K122" s="46"/>
    </row>
    <row r="123" spans="1:13" ht="26.1" customHeight="1" x14ac:dyDescent="0.2">
      <c r="A123" s="42"/>
      <c r="B123" s="43"/>
      <c r="C123" s="48"/>
      <c r="D123" s="69"/>
      <c r="E123" s="43"/>
      <c r="F123" s="44"/>
      <c r="G123" s="45"/>
      <c r="H123" s="44"/>
      <c r="I123" s="44"/>
      <c r="J123" s="44"/>
      <c r="K123" s="46"/>
    </row>
    <row r="124" spans="1:13" ht="26.1" customHeight="1" thickBot="1" x14ac:dyDescent="0.25">
      <c r="A124" s="42"/>
      <c r="B124" s="43"/>
      <c r="C124" s="48"/>
      <c r="D124" s="69"/>
      <c r="E124" s="43"/>
      <c r="F124" s="44"/>
      <c r="G124" s="45"/>
      <c r="H124" s="44"/>
      <c r="I124" s="44"/>
      <c r="J124" s="44"/>
      <c r="K124" s="46"/>
    </row>
    <row r="125" spans="1:13" ht="26.1" customHeight="1" thickBot="1" x14ac:dyDescent="0.25">
      <c r="A125" s="61"/>
      <c r="B125" s="601" t="s">
        <v>256</v>
      </c>
      <c r="C125" s="600"/>
      <c r="D125" s="600"/>
      <c r="E125" s="600"/>
      <c r="F125" s="600"/>
      <c r="G125" s="600"/>
      <c r="H125" s="600"/>
      <c r="I125" s="540"/>
      <c r="J125" s="62">
        <f>SUM(J107:J124)</f>
        <v>1017275</v>
      </c>
      <c r="K125" s="63"/>
    </row>
    <row r="126" spans="1:13" s="6" customFormat="1" ht="26.1" customHeight="1" x14ac:dyDescent="0.2">
      <c r="A126" s="6" t="str">
        <f>รวมราคา!A1</f>
        <v xml:space="preserve">ประมาณราคาค่าก่อสร้าง </v>
      </c>
      <c r="C126" s="88" t="str">
        <f>รวมราคา!C1</f>
        <v>อาคารที่พักอาศัย (แฟลต) จำนวน 40 ครอบครัว สูง 5 ชั้น (ใต้ถุนโล่ง)</v>
      </c>
      <c r="J126" s="110" t="str">
        <f>รวมราคา!J1</f>
        <v>แบบ ปร.4   แผ่นที่</v>
      </c>
      <c r="K126" s="292">
        <v>8</v>
      </c>
      <c r="L126" s="265"/>
      <c r="M126" s="265"/>
    </row>
    <row r="127" spans="1:13" s="6" customFormat="1" ht="26.1" customHeight="1" x14ac:dyDescent="0.2">
      <c r="A127" s="6" t="str">
        <f>รวมราคา!A2</f>
        <v xml:space="preserve">สถานที่ก่อสร้าง  </v>
      </c>
      <c r="C127" s="447" t="str">
        <f>รวมราคา!C2</f>
        <v>บก.ตชก.ภาค 2 ถ.หลังศูนย์ราชการ ต.ในเมือง อ.เมือง จ.ขอนแก่น</v>
      </c>
      <c r="G127" s="6" t="str">
        <f>รวมราคา!G2</f>
        <v xml:space="preserve">แบบเลขที่ </v>
      </c>
      <c r="H127" s="447" t="str">
        <f>รวมราคา!H2</f>
        <v>ตร.10817/60</v>
      </c>
      <c r="L127" s="265"/>
      <c r="M127" s="265"/>
    </row>
    <row r="128" spans="1:13" s="6" customFormat="1" ht="26.1" customHeight="1" x14ac:dyDescent="0.2">
      <c r="A128" s="6" t="str">
        <f>รวมราคา!A3</f>
        <v xml:space="preserve">ฝ่ายประมาณราคา   </v>
      </c>
      <c r="C128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128" s="6" t="str">
        <f>รวมราคา!G3</f>
        <v>กำหนดราคากลางเมื่อ</v>
      </c>
      <c r="H128" s="108"/>
      <c r="L128" s="265"/>
      <c r="M128" s="265"/>
    </row>
    <row r="129" spans="1:13" s="6" customFormat="1" ht="26.1" customHeight="1" thickBot="1" x14ac:dyDescent="0.25">
      <c r="A129" s="87" t="str">
        <f>รวมราคา!A4</f>
        <v xml:space="preserve">ประมาณราคาโดย  </v>
      </c>
      <c r="B129" s="87"/>
      <c r="C129" s="89"/>
      <c r="D129" s="87"/>
      <c r="E129" s="87"/>
      <c r="F129" s="87"/>
      <c r="G129" s="87"/>
      <c r="H129" s="87"/>
      <c r="I129" s="87"/>
      <c r="J129" s="87"/>
      <c r="L129" s="265"/>
      <c r="M129" s="265"/>
    </row>
    <row r="130" spans="1:13" s="6" customFormat="1" ht="26.1" customHeight="1" thickBot="1" x14ac:dyDescent="0.25">
      <c r="A130" s="522" t="s">
        <v>3</v>
      </c>
      <c r="B130" s="522" t="s">
        <v>4</v>
      </c>
      <c r="C130" s="522"/>
      <c r="D130" s="522" t="s">
        <v>18</v>
      </c>
      <c r="E130" s="600" t="s">
        <v>19</v>
      </c>
      <c r="F130" s="593" t="s">
        <v>20</v>
      </c>
      <c r="G130" s="593"/>
      <c r="H130" s="593" t="s">
        <v>21</v>
      </c>
      <c r="I130" s="593"/>
      <c r="J130" s="39" t="s">
        <v>22</v>
      </c>
      <c r="K130" s="540" t="s">
        <v>8</v>
      </c>
      <c r="L130" s="265"/>
      <c r="M130" s="265"/>
    </row>
    <row r="131" spans="1:13" s="6" customFormat="1" ht="26.1" customHeight="1" thickBot="1" x14ac:dyDescent="0.25">
      <c r="A131" s="522"/>
      <c r="B131" s="522"/>
      <c r="C131" s="522"/>
      <c r="D131" s="522"/>
      <c r="E131" s="600"/>
      <c r="F131" s="441" t="s">
        <v>23</v>
      </c>
      <c r="G131" s="40" t="s">
        <v>24</v>
      </c>
      <c r="H131" s="441" t="s">
        <v>23</v>
      </c>
      <c r="I131" s="441" t="s">
        <v>24</v>
      </c>
      <c r="J131" s="41" t="s">
        <v>25</v>
      </c>
      <c r="K131" s="540"/>
      <c r="L131" s="265"/>
      <c r="M131" s="265"/>
    </row>
    <row r="132" spans="1:13" s="6" customFormat="1" ht="26.1" customHeight="1" x14ac:dyDescent="0.2">
      <c r="A132" s="20"/>
      <c r="B132" s="222">
        <v>2.5</v>
      </c>
      <c r="C132" s="221" t="s">
        <v>249</v>
      </c>
      <c r="D132" s="230"/>
      <c r="E132" s="222"/>
      <c r="F132" s="24"/>
      <c r="G132" s="223"/>
      <c r="H132" s="24"/>
      <c r="I132" s="24"/>
      <c r="J132" s="24"/>
      <c r="K132" s="224"/>
      <c r="L132" s="265" t="s">
        <v>40</v>
      </c>
      <c r="M132" s="265"/>
    </row>
    <row r="133" spans="1:13" ht="26.1" customHeight="1" x14ac:dyDescent="0.2">
      <c r="A133" s="42"/>
      <c r="B133" s="43" t="s">
        <v>51</v>
      </c>
      <c r="C133" s="48" t="s">
        <v>86</v>
      </c>
      <c r="D133" s="73">
        <f>10*4</f>
        <v>40</v>
      </c>
      <c r="E133" s="43" t="s">
        <v>38</v>
      </c>
      <c r="F133" s="44">
        <v>6300</v>
      </c>
      <c r="G133" s="45">
        <f>D133*F133</f>
        <v>252000</v>
      </c>
      <c r="H133" s="44">
        <v>0</v>
      </c>
      <c r="I133" s="44">
        <f>D133*H133</f>
        <v>0</v>
      </c>
      <c r="J133" s="44">
        <f>G133+I133</f>
        <v>252000</v>
      </c>
      <c r="K133" s="57" t="s">
        <v>87</v>
      </c>
      <c r="L133" s="289">
        <f>1.8*D133</f>
        <v>72</v>
      </c>
      <c r="M133" s="289"/>
    </row>
    <row r="134" spans="1:13" ht="26.1" customHeight="1" x14ac:dyDescent="0.2">
      <c r="A134" s="42"/>
      <c r="B134" s="43" t="s">
        <v>52</v>
      </c>
      <c r="C134" s="48" t="s">
        <v>88</v>
      </c>
      <c r="D134" s="70">
        <f>20*4</f>
        <v>80</v>
      </c>
      <c r="E134" s="43" t="s">
        <v>38</v>
      </c>
      <c r="F134" s="44">
        <v>5800</v>
      </c>
      <c r="G134" s="45">
        <f>D134*F134</f>
        <v>464000</v>
      </c>
      <c r="H134" s="44">
        <v>0</v>
      </c>
      <c r="I134" s="44">
        <f>D134*H134</f>
        <v>0</v>
      </c>
      <c r="J134" s="44">
        <f>G134+I134</f>
        <v>464000</v>
      </c>
      <c r="K134" s="57" t="s">
        <v>87</v>
      </c>
      <c r="L134" s="290">
        <f>1.6*D134</f>
        <v>128</v>
      </c>
    </row>
    <row r="135" spans="1:13" ht="26.1" customHeight="1" x14ac:dyDescent="0.2">
      <c r="A135" s="42"/>
      <c r="B135" s="43" t="s">
        <v>53</v>
      </c>
      <c r="C135" s="48" t="s">
        <v>89</v>
      </c>
      <c r="D135" s="73">
        <f>10*4</f>
        <v>40</v>
      </c>
      <c r="E135" s="43" t="s">
        <v>38</v>
      </c>
      <c r="F135" s="44">
        <v>2500</v>
      </c>
      <c r="G135" s="45">
        <f>D135*F135</f>
        <v>100000</v>
      </c>
      <c r="H135" s="44">
        <v>0</v>
      </c>
      <c r="I135" s="44">
        <f>D135*H135</f>
        <v>0</v>
      </c>
      <c r="J135" s="44">
        <f>G135+I135</f>
        <v>100000</v>
      </c>
      <c r="K135" s="57" t="s">
        <v>87</v>
      </c>
      <c r="L135" s="290">
        <f>1.6*D135</f>
        <v>64</v>
      </c>
    </row>
    <row r="136" spans="1:13" ht="26.1" customHeight="1" x14ac:dyDescent="0.2">
      <c r="A136" s="42"/>
      <c r="B136" s="43" t="s">
        <v>54</v>
      </c>
      <c r="C136" s="48" t="s">
        <v>90</v>
      </c>
      <c r="D136" s="73">
        <v>2</v>
      </c>
      <c r="E136" s="43" t="s">
        <v>38</v>
      </c>
      <c r="F136" s="44">
        <v>9500</v>
      </c>
      <c r="G136" s="45">
        <f>D136*F136</f>
        <v>19000</v>
      </c>
      <c r="H136" s="44">
        <v>0</v>
      </c>
      <c r="I136" s="44">
        <f>D136*H136</f>
        <v>0</v>
      </c>
      <c r="J136" s="44">
        <f>G136+I136</f>
        <v>19000</v>
      </c>
      <c r="K136" s="57" t="s">
        <v>87</v>
      </c>
      <c r="L136" s="288">
        <f>1.2*D136</f>
        <v>2.4</v>
      </c>
    </row>
    <row r="137" spans="1:13" ht="26.1" customHeight="1" x14ac:dyDescent="0.2">
      <c r="A137" s="42"/>
      <c r="B137" s="43" t="s">
        <v>407</v>
      </c>
      <c r="C137" s="48" t="s">
        <v>408</v>
      </c>
      <c r="D137" s="73">
        <v>2</v>
      </c>
      <c r="E137" s="43" t="s">
        <v>38</v>
      </c>
      <c r="F137" s="44">
        <v>2700</v>
      </c>
      <c r="G137" s="45">
        <f>D137*F137</f>
        <v>5400</v>
      </c>
      <c r="H137" s="44">
        <v>0</v>
      </c>
      <c r="I137" s="44">
        <f>D137*H137</f>
        <v>0</v>
      </c>
      <c r="J137" s="44">
        <f>G137+I137</f>
        <v>5400</v>
      </c>
      <c r="K137" s="57" t="s">
        <v>87</v>
      </c>
      <c r="L137" s="290">
        <f>4.1*D137</f>
        <v>8.1999999999999993</v>
      </c>
    </row>
    <row r="138" spans="1:13" ht="26.1" customHeight="1" x14ac:dyDescent="0.2">
      <c r="A138" s="42"/>
      <c r="B138" s="59"/>
      <c r="C138" s="48"/>
      <c r="D138" s="70"/>
      <c r="E138" s="43"/>
      <c r="F138" s="44"/>
      <c r="G138" s="45"/>
      <c r="H138" s="44"/>
      <c r="I138" s="44"/>
      <c r="J138" s="44"/>
      <c r="K138" s="57"/>
    </row>
    <row r="139" spans="1:13" ht="26.1" customHeight="1" x14ac:dyDescent="0.2">
      <c r="A139" s="42"/>
      <c r="B139" s="59"/>
      <c r="C139" s="48"/>
      <c r="D139" s="70"/>
      <c r="E139" s="43"/>
      <c r="F139" s="44"/>
      <c r="G139" s="45"/>
      <c r="H139" s="44"/>
      <c r="I139" s="44"/>
      <c r="J139" s="44"/>
      <c r="K139" s="57"/>
    </row>
    <row r="140" spans="1:13" ht="26.1" customHeight="1" x14ac:dyDescent="0.2">
      <c r="A140" s="42"/>
      <c r="B140" s="59"/>
      <c r="C140" s="48"/>
      <c r="D140" s="70"/>
      <c r="E140" s="43"/>
      <c r="F140" s="44"/>
      <c r="G140" s="45"/>
      <c r="H140" s="44"/>
      <c r="I140" s="44"/>
      <c r="J140" s="44"/>
      <c r="K140" s="57"/>
    </row>
    <row r="141" spans="1:13" ht="26.1" customHeight="1" x14ac:dyDescent="0.2">
      <c r="A141" s="42"/>
      <c r="B141" s="59"/>
      <c r="C141" s="48"/>
      <c r="D141" s="70"/>
      <c r="E141" s="43"/>
      <c r="F141" s="44"/>
      <c r="G141" s="45"/>
      <c r="H141" s="44"/>
      <c r="I141" s="44"/>
      <c r="J141" s="44"/>
      <c r="K141" s="57"/>
    </row>
    <row r="142" spans="1:13" ht="26.1" customHeight="1" x14ac:dyDescent="0.2">
      <c r="A142" s="42"/>
      <c r="B142" s="59"/>
      <c r="C142" s="48"/>
      <c r="D142" s="70"/>
      <c r="E142" s="43"/>
      <c r="F142" s="44"/>
      <c r="G142" s="45"/>
      <c r="H142" s="44"/>
      <c r="I142" s="44"/>
      <c r="J142" s="44"/>
      <c r="K142" s="57"/>
    </row>
    <row r="143" spans="1:13" ht="26.1" customHeight="1" x14ac:dyDescent="0.2">
      <c r="A143" s="42"/>
      <c r="B143" s="59"/>
      <c r="C143" s="48"/>
      <c r="D143" s="70"/>
      <c r="E143" s="43"/>
      <c r="F143" s="44"/>
      <c r="G143" s="45"/>
      <c r="H143" s="44"/>
      <c r="I143" s="44"/>
      <c r="J143" s="44"/>
      <c r="K143" s="57"/>
    </row>
    <row r="144" spans="1:13" ht="26.1" customHeight="1" x14ac:dyDescent="0.2">
      <c r="A144" s="42"/>
      <c r="B144" s="59"/>
      <c r="C144" s="48"/>
      <c r="D144" s="70"/>
      <c r="E144" s="43"/>
      <c r="F144" s="44"/>
      <c r="G144" s="45"/>
      <c r="H144" s="44"/>
      <c r="I144" s="44"/>
      <c r="J144" s="44"/>
      <c r="K144" s="57"/>
    </row>
    <row r="145" spans="1:13" ht="26.1" customHeight="1" x14ac:dyDescent="0.2">
      <c r="A145" s="42"/>
      <c r="B145" s="59"/>
      <c r="C145" s="48"/>
      <c r="D145" s="70"/>
      <c r="E145" s="43"/>
      <c r="F145" s="44"/>
      <c r="G145" s="45"/>
      <c r="H145" s="44"/>
      <c r="I145" s="44"/>
      <c r="J145" s="44"/>
      <c r="K145" s="57"/>
    </row>
    <row r="146" spans="1:13" ht="26.1" customHeight="1" x14ac:dyDescent="0.2">
      <c r="A146" s="42"/>
      <c r="B146" s="59"/>
      <c r="C146" s="48"/>
      <c r="D146" s="70"/>
      <c r="E146" s="43"/>
      <c r="F146" s="44"/>
      <c r="G146" s="45"/>
      <c r="H146" s="44"/>
      <c r="I146" s="44"/>
      <c r="J146" s="44"/>
      <c r="K146" s="57"/>
    </row>
    <row r="147" spans="1:13" ht="26.1" customHeight="1" x14ac:dyDescent="0.2">
      <c r="A147" s="42"/>
      <c r="B147" s="59"/>
      <c r="C147" s="48"/>
      <c r="D147" s="70"/>
      <c r="E147" s="43"/>
      <c r="F147" s="44"/>
      <c r="G147" s="45"/>
      <c r="H147" s="44"/>
      <c r="I147" s="44"/>
      <c r="J147" s="44"/>
      <c r="K147" s="57"/>
    </row>
    <row r="148" spans="1:13" ht="26.1" customHeight="1" thickBot="1" x14ac:dyDescent="0.25">
      <c r="A148" s="42"/>
      <c r="B148" s="59"/>
      <c r="C148" s="48"/>
      <c r="D148" s="70"/>
      <c r="E148" s="43"/>
      <c r="F148" s="44"/>
      <c r="G148" s="45"/>
      <c r="H148" s="44"/>
      <c r="I148" s="44"/>
      <c r="J148" s="44"/>
      <c r="K148" s="57"/>
    </row>
    <row r="149" spans="1:13" ht="26.1" customHeight="1" thickBot="1" x14ac:dyDescent="0.25">
      <c r="A149" s="61"/>
      <c r="B149" s="601" t="s">
        <v>257</v>
      </c>
      <c r="C149" s="600"/>
      <c r="D149" s="600"/>
      <c r="E149" s="600"/>
      <c r="F149" s="600"/>
      <c r="G149" s="600"/>
      <c r="H149" s="600"/>
      <c r="I149" s="540"/>
      <c r="J149" s="62">
        <f>SUM(J132:J148)</f>
        <v>840400</v>
      </c>
      <c r="K149" s="63"/>
    </row>
    <row r="150" spans="1:13" s="6" customFormat="1" ht="26.1" customHeight="1" x14ac:dyDescent="0.2">
      <c r="A150" s="6" t="str">
        <f>รวมราคา!A1</f>
        <v xml:space="preserve">ประมาณราคาค่าก่อสร้าง </v>
      </c>
      <c r="C150" s="88" t="str">
        <f>รวมราคา!C1</f>
        <v>อาคารที่พักอาศัย (แฟลต) จำนวน 40 ครอบครัว สูง 5 ชั้น (ใต้ถุนโล่ง)</v>
      </c>
      <c r="J150" s="447" t="str">
        <f>รวมราคา!J1</f>
        <v>แบบ ปร.4   แผ่นที่</v>
      </c>
      <c r="K150" s="88">
        <v>9</v>
      </c>
      <c r="L150" s="265"/>
      <c r="M150" s="265"/>
    </row>
    <row r="151" spans="1:13" s="6" customFormat="1" ht="26.1" customHeight="1" x14ac:dyDescent="0.2">
      <c r="A151" s="6" t="str">
        <f>รวมราคา!A2</f>
        <v xml:space="preserve">สถานที่ก่อสร้าง  </v>
      </c>
      <c r="C151" s="447" t="str">
        <f>รวมราคา!C2</f>
        <v>บก.ตชก.ภาค 2 ถ.หลังศูนย์ราชการ ต.ในเมือง อ.เมือง จ.ขอนแก่น</v>
      </c>
      <c r="G151" s="6" t="str">
        <f>รวมราคา!G2</f>
        <v xml:space="preserve">แบบเลขที่ </v>
      </c>
      <c r="H151" s="447" t="str">
        <f>รวมราคา!H2</f>
        <v>ตร.10817/60</v>
      </c>
      <c r="L151" s="265"/>
      <c r="M151" s="265"/>
    </row>
    <row r="152" spans="1:13" s="6" customFormat="1" ht="26.1" customHeight="1" x14ac:dyDescent="0.2">
      <c r="A152" s="6" t="str">
        <f>รวมราคา!A3</f>
        <v xml:space="preserve">ฝ่ายประมาณราคา   </v>
      </c>
      <c r="C152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152" s="6" t="str">
        <f>รวมราคา!G3</f>
        <v>กำหนดราคากลางเมื่อ</v>
      </c>
      <c r="H152" s="108"/>
      <c r="L152" s="265"/>
      <c r="M152" s="265"/>
    </row>
    <row r="153" spans="1:13" s="6" customFormat="1" ht="26.1" customHeight="1" thickBot="1" x14ac:dyDescent="0.25">
      <c r="A153" s="87" t="str">
        <f>รวมราคา!A4</f>
        <v xml:space="preserve">ประมาณราคาโดย  </v>
      </c>
      <c r="B153" s="87"/>
      <c r="C153" s="89"/>
      <c r="D153" s="87"/>
      <c r="E153" s="87"/>
      <c r="F153" s="87"/>
      <c r="G153" s="87"/>
      <c r="H153" s="87"/>
      <c r="I153" s="87"/>
      <c r="J153" s="87"/>
      <c r="L153" s="265"/>
      <c r="M153" s="265"/>
    </row>
    <row r="154" spans="1:13" s="6" customFormat="1" ht="26.1" customHeight="1" thickBot="1" x14ac:dyDescent="0.25">
      <c r="A154" s="522" t="s">
        <v>3</v>
      </c>
      <c r="B154" s="522" t="s">
        <v>4</v>
      </c>
      <c r="C154" s="522"/>
      <c r="D154" s="522" t="s">
        <v>18</v>
      </c>
      <c r="E154" s="600" t="s">
        <v>19</v>
      </c>
      <c r="F154" s="593" t="s">
        <v>20</v>
      </c>
      <c r="G154" s="593"/>
      <c r="H154" s="593" t="s">
        <v>21</v>
      </c>
      <c r="I154" s="593"/>
      <c r="J154" s="39" t="s">
        <v>22</v>
      </c>
      <c r="K154" s="540" t="s">
        <v>8</v>
      </c>
      <c r="L154" s="265"/>
      <c r="M154" s="265"/>
    </row>
    <row r="155" spans="1:13" s="6" customFormat="1" ht="26.1" customHeight="1" thickBot="1" x14ac:dyDescent="0.25">
      <c r="A155" s="522"/>
      <c r="B155" s="522"/>
      <c r="C155" s="522"/>
      <c r="D155" s="522"/>
      <c r="E155" s="600"/>
      <c r="F155" s="441" t="s">
        <v>23</v>
      </c>
      <c r="G155" s="40" t="s">
        <v>24</v>
      </c>
      <c r="H155" s="441" t="s">
        <v>23</v>
      </c>
      <c r="I155" s="441" t="s">
        <v>24</v>
      </c>
      <c r="J155" s="41" t="s">
        <v>25</v>
      </c>
      <c r="K155" s="540"/>
      <c r="L155" s="265"/>
      <c r="M155" s="265"/>
    </row>
    <row r="156" spans="1:13" s="6" customFormat="1" ht="26.1" customHeight="1" x14ac:dyDescent="0.2">
      <c r="A156" s="20"/>
      <c r="B156" s="222">
        <v>2.6</v>
      </c>
      <c r="C156" s="221" t="s">
        <v>250</v>
      </c>
      <c r="D156" s="230"/>
      <c r="E156" s="222"/>
      <c r="F156" s="24"/>
      <c r="G156" s="223"/>
      <c r="H156" s="24"/>
      <c r="I156" s="24"/>
      <c r="J156" s="24"/>
      <c r="K156" s="224"/>
      <c r="L156" s="265"/>
      <c r="M156" s="265"/>
    </row>
    <row r="157" spans="1:13" ht="26.1" customHeight="1" x14ac:dyDescent="0.2">
      <c r="A157" s="42"/>
      <c r="B157" s="43" t="s">
        <v>55</v>
      </c>
      <c r="C157" s="48" t="s">
        <v>91</v>
      </c>
      <c r="D157" s="70">
        <f>10*4</f>
        <v>40</v>
      </c>
      <c r="E157" s="43" t="s">
        <v>38</v>
      </c>
      <c r="F157" s="44">
        <f>1.6*1800</f>
        <v>2880</v>
      </c>
      <c r="G157" s="45">
        <f>D157*F157</f>
        <v>115200</v>
      </c>
      <c r="H157" s="44">
        <v>0</v>
      </c>
      <c r="I157" s="44">
        <f>D157*H157</f>
        <v>0</v>
      </c>
      <c r="J157" s="44">
        <f>G157+I157</f>
        <v>115200</v>
      </c>
      <c r="K157" s="50" t="s">
        <v>87</v>
      </c>
      <c r="L157" s="290">
        <f>1.6*D157</f>
        <v>64</v>
      </c>
    </row>
    <row r="158" spans="1:13" ht="26.1" customHeight="1" x14ac:dyDescent="0.2">
      <c r="A158" s="42"/>
      <c r="B158" s="43" t="s">
        <v>56</v>
      </c>
      <c r="C158" s="48" t="s">
        <v>92</v>
      </c>
      <c r="D158" s="70">
        <f>10*4</f>
        <v>40</v>
      </c>
      <c r="E158" s="43" t="s">
        <v>38</v>
      </c>
      <c r="F158" s="44">
        <f>3.78*1800</f>
        <v>6804</v>
      </c>
      <c r="G158" s="45">
        <f>D158*F158</f>
        <v>272160</v>
      </c>
      <c r="H158" s="44">
        <v>0</v>
      </c>
      <c r="I158" s="44">
        <f>D158*H158</f>
        <v>0</v>
      </c>
      <c r="J158" s="44">
        <f>G158+I158</f>
        <v>272160</v>
      </c>
      <c r="K158" s="50" t="s">
        <v>87</v>
      </c>
      <c r="L158" s="290">
        <f>3.78*D158</f>
        <v>151.19999999999999</v>
      </c>
    </row>
    <row r="159" spans="1:13" ht="26.1" customHeight="1" x14ac:dyDescent="0.2">
      <c r="A159" s="42"/>
      <c r="B159" s="43" t="s">
        <v>57</v>
      </c>
      <c r="C159" s="48" t="s">
        <v>93</v>
      </c>
      <c r="D159" s="70">
        <f>6*4</f>
        <v>24</v>
      </c>
      <c r="E159" s="43" t="s">
        <v>38</v>
      </c>
      <c r="F159" s="44">
        <f>2.4*1800</f>
        <v>4320</v>
      </c>
      <c r="G159" s="45">
        <f>D159*F159</f>
        <v>103680</v>
      </c>
      <c r="H159" s="44">
        <v>0</v>
      </c>
      <c r="I159" s="44">
        <f>D159*H159</f>
        <v>0</v>
      </c>
      <c r="J159" s="44">
        <f>G159+I159</f>
        <v>103680</v>
      </c>
      <c r="K159" s="50" t="s">
        <v>87</v>
      </c>
      <c r="L159" s="290">
        <f>2.4*D159</f>
        <v>57.599999999999994</v>
      </c>
    </row>
    <row r="160" spans="1:13" ht="26.1" customHeight="1" x14ac:dyDescent="0.2">
      <c r="A160" s="42"/>
      <c r="B160" s="43" t="s">
        <v>58</v>
      </c>
      <c r="C160" s="48" t="s">
        <v>94</v>
      </c>
      <c r="D160" s="70">
        <f>4*4</f>
        <v>16</v>
      </c>
      <c r="E160" s="43" t="s">
        <v>38</v>
      </c>
      <c r="F160" s="44">
        <f>2*1800</f>
        <v>3600</v>
      </c>
      <c r="G160" s="45">
        <f>D160*F160</f>
        <v>57600</v>
      </c>
      <c r="H160" s="44">
        <v>0</v>
      </c>
      <c r="I160" s="44">
        <f>D160*H160</f>
        <v>0</v>
      </c>
      <c r="J160" s="44">
        <f>G160+I160</f>
        <v>57600</v>
      </c>
      <c r="K160" s="50" t="s">
        <v>87</v>
      </c>
      <c r="L160" s="290">
        <f>2*D160</f>
        <v>32</v>
      </c>
    </row>
    <row r="161" spans="1:13" ht="26.1" customHeight="1" x14ac:dyDescent="0.2">
      <c r="A161" s="42"/>
      <c r="B161" s="43" t="s">
        <v>324</v>
      </c>
      <c r="C161" s="48" t="s">
        <v>409</v>
      </c>
      <c r="D161" s="70">
        <f>10*4</f>
        <v>40</v>
      </c>
      <c r="E161" s="43" t="s">
        <v>38</v>
      </c>
      <c r="F161" s="44">
        <v>500</v>
      </c>
      <c r="G161" s="45">
        <f>D161*F161</f>
        <v>20000</v>
      </c>
      <c r="H161" s="44">
        <v>0</v>
      </c>
      <c r="I161" s="44">
        <f>D161*H161</f>
        <v>0</v>
      </c>
      <c r="J161" s="44">
        <f>G161+I161</f>
        <v>20000</v>
      </c>
      <c r="K161" s="50" t="s">
        <v>87</v>
      </c>
      <c r="L161" s="290">
        <f>1.12*D161</f>
        <v>44.800000000000004</v>
      </c>
    </row>
    <row r="162" spans="1:13" ht="26.1" customHeight="1" x14ac:dyDescent="0.2">
      <c r="A162" s="42"/>
      <c r="B162" s="59"/>
      <c r="C162" s="48"/>
      <c r="D162" s="70"/>
      <c r="E162" s="43"/>
      <c r="F162" s="44"/>
      <c r="G162" s="45"/>
      <c r="H162" s="44"/>
      <c r="I162" s="44"/>
      <c r="J162" s="44"/>
      <c r="K162" s="50"/>
    </row>
    <row r="163" spans="1:13" ht="26.1" customHeight="1" x14ac:dyDescent="0.2">
      <c r="A163" s="42"/>
      <c r="B163" s="59"/>
      <c r="C163" s="48"/>
      <c r="D163" s="70"/>
      <c r="E163" s="43"/>
      <c r="F163" s="44"/>
      <c r="G163" s="45"/>
      <c r="H163" s="44"/>
      <c r="I163" s="44"/>
      <c r="J163" s="44"/>
      <c r="K163" s="50"/>
    </row>
    <row r="164" spans="1:13" ht="26.1" customHeight="1" x14ac:dyDescent="0.2">
      <c r="A164" s="42"/>
      <c r="B164" s="59"/>
      <c r="C164" s="48"/>
      <c r="D164" s="70"/>
      <c r="E164" s="43"/>
      <c r="F164" s="44"/>
      <c r="G164" s="45"/>
      <c r="H164" s="44"/>
      <c r="I164" s="44"/>
      <c r="J164" s="44"/>
      <c r="K164" s="50"/>
    </row>
    <row r="165" spans="1:13" ht="26.1" customHeight="1" x14ac:dyDescent="0.2">
      <c r="A165" s="42"/>
      <c r="B165" s="59"/>
      <c r="C165" s="48"/>
      <c r="D165" s="70"/>
      <c r="E165" s="43"/>
      <c r="F165" s="44"/>
      <c r="G165" s="45"/>
      <c r="H165" s="44"/>
      <c r="I165" s="44"/>
      <c r="J165" s="44"/>
      <c r="K165" s="50"/>
    </row>
    <row r="166" spans="1:13" ht="26.1" customHeight="1" x14ac:dyDescent="0.2">
      <c r="A166" s="42"/>
      <c r="B166" s="59"/>
      <c r="C166" s="48"/>
      <c r="D166" s="70"/>
      <c r="E166" s="43"/>
      <c r="F166" s="44"/>
      <c r="G166" s="45"/>
      <c r="H166" s="44"/>
      <c r="I166" s="44"/>
      <c r="J166" s="44"/>
      <c r="K166" s="50"/>
    </row>
    <row r="167" spans="1:13" ht="26.1" customHeight="1" x14ac:dyDescent="0.2">
      <c r="A167" s="42"/>
      <c r="B167" s="59"/>
      <c r="C167" s="48"/>
      <c r="D167" s="73"/>
      <c r="E167" s="43"/>
      <c r="F167" s="44"/>
      <c r="G167" s="45"/>
      <c r="H167" s="44"/>
      <c r="I167" s="44"/>
      <c r="J167" s="44"/>
      <c r="K167" s="50"/>
    </row>
    <row r="168" spans="1:13" ht="26.1" customHeight="1" x14ac:dyDescent="0.2">
      <c r="A168" s="42"/>
      <c r="B168" s="59"/>
      <c r="C168" s="48"/>
      <c r="D168" s="70"/>
      <c r="E168" s="43"/>
      <c r="F168" s="44"/>
      <c r="G168" s="45"/>
      <c r="H168" s="44"/>
      <c r="I168" s="44"/>
      <c r="J168" s="44"/>
      <c r="K168" s="50"/>
    </row>
    <row r="169" spans="1:13" ht="26.1" customHeight="1" x14ac:dyDescent="0.2">
      <c r="A169" s="42"/>
      <c r="B169" s="59"/>
      <c r="C169" s="48"/>
      <c r="D169" s="70"/>
      <c r="E169" s="43"/>
      <c r="F169" s="44"/>
      <c r="G169" s="45"/>
      <c r="H169" s="44"/>
      <c r="I169" s="44"/>
      <c r="J169" s="44"/>
      <c r="K169" s="50"/>
    </row>
    <row r="170" spans="1:13" ht="26.1" customHeight="1" x14ac:dyDescent="0.2">
      <c r="A170" s="42"/>
      <c r="B170" s="59"/>
      <c r="C170" s="48"/>
      <c r="D170" s="70"/>
      <c r="E170" s="43"/>
      <c r="F170" s="44"/>
      <c r="G170" s="45"/>
      <c r="H170" s="44"/>
      <c r="I170" s="44"/>
      <c r="J170" s="44"/>
      <c r="K170" s="50"/>
    </row>
    <row r="171" spans="1:13" ht="26.1" customHeight="1" x14ac:dyDescent="0.2">
      <c r="A171" s="42"/>
      <c r="B171" s="59"/>
      <c r="C171" s="48"/>
      <c r="D171" s="70"/>
      <c r="E171" s="43"/>
      <c r="F171" s="44"/>
      <c r="G171" s="45"/>
      <c r="H171" s="44"/>
      <c r="I171" s="44"/>
      <c r="J171" s="44"/>
      <c r="K171" s="50"/>
    </row>
    <row r="172" spans="1:13" ht="26.1" customHeight="1" thickBot="1" x14ac:dyDescent="0.25">
      <c r="A172" s="42"/>
      <c r="B172" s="59"/>
      <c r="C172" s="48"/>
      <c r="D172" s="70"/>
      <c r="E172" s="43"/>
      <c r="F172" s="44"/>
      <c r="G172" s="45"/>
      <c r="H172" s="44"/>
      <c r="I172" s="44"/>
      <c r="J172" s="44"/>
      <c r="K172" s="50"/>
    </row>
    <row r="173" spans="1:13" ht="26.1" customHeight="1" thickBot="1" x14ac:dyDescent="0.25">
      <c r="A173" s="61"/>
      <c r="B173" s="601" t="s">
        <v>258</v>
      </c>
      <c r="C173" s="600"/>
      <c r="D173" s="600"/>
      <c r="E173" s="600"/>
      <c r="F173" s="600"/>
      <c r="G173" s="600"/>
      <c r="H173" s="600"/>
      <c r="I173" s="540"/>
      <c r="J173" s="62">
        <f>SUM(J156:J172)</f>
        <v>568640</v>
      </c>
      <c r="K173" s="63"/>
    </row>
    <row r="174" spans="1:13" s="6" customFormat="1" ht="26.1" customHeight="1" x14ac:dyDescent="0.2">
      <c r="A174" s="6" t="str">
        <f>รวมราคา!A1</f>
        <v xml:space="preserve">ประมาณราคาค่าก่อสร้าง </v>
      </c>
      <c r="C174" s="88" t="str">
        <f>รวมราคา!C1</f>
        <v>อาคารที่พักอาศัย (แฟลต) จำนวน 40 ครอบครัว สูง 5 ชั้น (ใต้ถุนโล่ง)</v>
      </c>
      <c r="J174" s="110" t="str">
        <f>รวมราคา!J1</f>
        <v>แบบ ปร.4   แผ่นที่</v>
      </c>
      <c r="K174" s="292">
        <v>10</v>
      </c>
      <c r="L174" s="265"/>
      <c r="M174" s="265"/>
    </row>
    <row r="175" spans="1:13" s="6" customFormat="1" ht="26.1" customHeight="1" x14ac:dyDescent="0.2">
      <c r="A175" s="6" t="str">
        <f>รวมราคา!A2</f>
        <v xml:space="preserve">สถานที่ก่อสร้าง  </v>
      </c>
      <c r="C175" s="447" t="str">
        <f>รวมราคา!C2</f>
        <v>บก.ตชก.ภาค 2 ถ.หลังศูนย์ราชการ ต.ในเมือง อ.เมือง จ.ขอนแก่น</v>
      </c>
      <c r="G175" s="6" t="str">
        <f>รวมราคา!G2</f>
        <v xml:space="preserve">แบบเลขที่ </v>
      </c>
      <c r="H175" s="447" t="str">
        <f>รวมราคา!H2</f>
        <v>ตร.10817/60</v>
      </c>
      <c r="L175" s="265"/>
      <c r="M175" s="265"/>
    </row>
    <row r="176" spans="1:13" s="6" customFormat="1" ht="26.1" customHeight="1" x14ac:dyDescent="0.2">
      <c r="A176" s="6" t="str">
        <f>รวมราคา!A3</f>
        <v xml:space="preserve">ฝ่ายประมาณราคา   </v>
      </c>
      <c r="C176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176" s="6" t="str">
        <f>รวมราคา!G3</f>
        <v>กำหนดราคากลางเมื่อ</v>
      </c>
      <c r="H176" s="108"/>
      <c r="L176" s="265"/>
      <c r="M176" s="265"/>
    </row>
    <row r="177" spans="1:13" s="6" customFormat="1" ht="26.1" customHeight="1" thickBot="1" x14ac:dyDescent="0.25">
      <c r="A177" s="87" t="str">
        <f>รวมราคา!A4</f>
        <v xml:space="preserve">ประมาณราคาโดย  </v>
      </c>
      <c r="B177" s="87"/>
      <c r="C177" s="89"/>
      <c r="D177" s="87"/>
      <c r="E177" s="87"/>
      <c r="F177" s="87"/>
      <c r="G177" s="87"/>
      <c r="H177" s="87"/>
      <c r="I177" s="87"/>
      <c r="J177" s="87"/>
      <c r="L177" s="265"/>
      <c r="M177" s="265"/>
    </row>
    <row r="178" spans="1:13" s="6" customFormat="1" ht="26.1" customHeight="1" thickBot="1" x14ac:dyDescent="0.25">
      <c r="A178" s="522" t="s">
        <v>3</v>
      </c>
      <c r="B178" s="522" t="s">
        <v>4</v>
      </c>
      <c r="C178" s="522"/>
      <c r="D178" s="522" t="s">
        <v>18</v>
      </c>
      <c r="E178" s="600" t="s">
        <v>19</v>
      </c>
      <c r="F178" s="593" t="s">
        <v>20</v>
      </c>
      <c r="G178" s="593"/>
      <c r="H178" s="593" t="s">
        <v>21</v>
      </c>
      <c r="I178" s="593"/>
      <c r="J178" s="39" t="s">
        <v>22</v>
      </c>
      <c r="K178" s="540" t="s">
        <v>8</v>
      </c>
      <c r="L178" s="265"/>
      <c r="M178" s="265"/>
    </row>
    <row r="179" spans="1:13" s="6" customFormat="1" ht="26.1" customHeight="1" thickBot="1" x14ac:dyDescent="0.25">
      <c r="A179" s="522"/>
      <c r="B179" s="522"/>
      <c r="C179" s="522"/>
      <c r="D179" s="522"/>
      <c r="E179" s="600"/>
      <c r="F179" s="441" t="s">
        <v>23</v>
      </c>
      <c r="G179" s="40" t="s">
        <v>24</v>
      </c>
      <c r="H179" s="441" t="s">
        <v>23</v>
      </c>
      <c r="I179" s="441" t="s">
        <v>24</v>
      </c>
      <c r="J179" s="41" t="s">
        <v>25</v>
      </c>
      <c r="K179" s="540"/>
      <c r="L179" s="265"/>
      <c r="M179" s="265"/>
    </row>
    <row r="180" spans="1:13" s="6" customFormat="1" ht="26.1" customHeight="1" x14ac:dyDescent="0.2">
      <c r="A180" s="20"/>
      <c r="B180" s="222">
        <v>2.7</v>
      </c>
      <c r="C180" s="221" t="s">
        <v>251</v>
      </c>
      <c r="D180" s="229"/>
      <c r="E180" s="222"/>
      <c r="F180" s="24"/>
      <c r="G180" s="223"/>
      <c r="H180" s="24"/>
      <c r="I180" s="24"/>
      <c r="J180" s="24"/>
      <c r="K180" s="224"/>
      <c r="L180" s="265"/>
      <c r="M180" s="265"/>
    </row>
    <row r="181" spans="1:13" ht="26.1" customHeight="1" x14ac:dyDescent="0.2">
      <c r="A181" s="42"/>
      <c r="B181" s="43" t="s">
        <v>59</v>
      </c>
      <c r="C181" s="48" t="s">
        <v>95</v>
      </c>
      <c r="D181" s="256">
        <v>40</v>
      </c>
      <c r="E181" s="43" t="s">
        <v>38</v>
      </c>
      <c r="F181" s="240">
        <v>4850</v>
      </c>
      <c r="G181" s="250">
        <f>D181*F181</f>
        <v>194000</v>
      </c>
      <c r="H181" s="240">
        <v>450</v>
      </c>
      <c r="I181" s="240">
        <f>D181*H181</f>
        <v>18000</v>
      </c>
      <c r="J181" s="240">
        <f>G181+I181</f>
        <v>212000</v>
      </c>
      <c r="K181" s="254"/>
    </row>
    <row r="182" spans="1:13" ht="26.1" customHeight="1" x14ac:dyDescent="0.2">
      <c r="A182" s="42"/>
      <c r="B182" s="43" t="s">
        <v>60</v>
      </c>
      <c r="C182" s="48" t="s">
        <v>320</v>
      </c>
      <c r="D182" s="256">
        <f>D181</f>
        <v>40</v>
      </c>
      <c r="E182" s="43" t="s">
        <v>38</v>
      </c>
      <c r="F182" s="240">
        <v>350</v>
      </c>
      <c r="G182" s="250">
        <f t="shared" ref="G182:G194" si="9">D182*F182</f>
        <v>14000</v>
      </c>
      <c r="H182" s="240">
        <v>70</v>
      </c>
      <c r="I182" s="240">
        <f t="shared" ref="I182:I194" si="10">D182*H182</f>
        <v>2800</v>
      </c>
      <c r="J182" s="240">
        <f t="shared" ref="J182:J194" si="11">G182+I182</f>
        <v>16800</v>
      </c>
      <c r="K182" s="254"/>
    </row>
    <row r="183" spans="1:13" ht="26.1" customHeight="1" x14ac:dyDescent="0.2">
      <c r="A183" s="42"/>
      <c r="B183" s="43" t="s">
        <v>61</v>
      </c>
      <c r="C183" s="48" t="s">
        <v>321</v>
      </c>
      <c r="D183" s="256">
        <v>40</v>
      </c>
      <c r="E183" s="43" t="s">
        <v>38</v>
      </c>
      <c r="F183" s="240">
        <v>2300</v>
      </c>
      <c r="G183" s="250">
        <f t="shared" si="9"/>
        <v>92000</v>
      </c>
      <c r="H183" s="240">
        <v>450</v>
      </c>
      <c r="I183" s="240">
        <f t="shared" si="10"/>
        <v>18000</v>
      </c>
      <c r="J183" s="240">
        <f t="shared" si="11"/>
        <v>110000</v>
      </c>
      <c r="K183" s="254"/>
    </row>
    <row r="184" spans="1:13" ht="26.1" customHeight="1" x14ac:dyDescent="0.2">
      <c r="A184" s="42"/>
      <c r="B184" s="43" t="s">
        <v>159</v>
      </c>
      <c r="C184" s="48" t="s">
        <v>322</v>
      </c>
      <c r="D184" s="256">
        <f>D183</f>
        <v>40</v>
      </c>
      <c r="E184" s="43" t="s">
        <v>38</v>
      </c>
      <c r="F184" s="240">
        <f>210+250+120</f>
        <v>580</v>
      </c>
      <c r="G184" s="250">
        <f>D184*F184</f>
        <v>23200</v>
      </c>
      <c r="H184" s="240">
        <v>0</v>
      </c>
      <c r="I184" s="240">
        <f>D184*H184</f>
        <v>0</v>
      </c>
      <c r="J184" s="240">
        <f>G184+I184</f>
        <v>23200</v>
      </c>
      <c r="K184" s="254" t="s">
        <v>87</v>
      </c>
    </row>
    <row r="185" spans="1:13" ht="26.1" customHeight="1" x14ac:dyDescent="0.2">
      <c r="A185" s="42"/>
      <c r="B185" s="43" t="s">
        <v>159</v>
      </c>
      <c r="C185" s="48" t="s">
        <v>323</v>
      </c>
      <c r="D185" s="256">
        <f>D183</f>
        <v>40</v>
      </c>
      <c r="E185" s="43" t="s">
        <v>38</v>
      </c>
      <c r="F185" s="240">
        <v>450</v>
      </c>
      <c r="G185" s="250">
        <f>D185*F185</f>
        <v>18000</v>
      </c>
      <c r="H185" s="240">
        <v>150</v>
      </c>
      <c r="I185" s="240">
        <f>D185*H185</f>
        <v>6000</v>
      </c>
      <c r="J185" s="240">
        <f>G185+I185</f>
        <v>24000</v>
      </c>
      <c r="K185" s="254"/>
    </row>
    <row r="186" spans="1:13" ht="26.1" customHeight="1" x14ac:dyDescent="0.2">
      <c r="A186" s="25"/>
      <c r="B186" s="43" t="s">
        <v>62</v>
      </c>
      <c r="C186" s="258" t="s">
        <v>96</v>
      </c>
      <c r="D186" s="233">
        <v>40</v>
      </c>
      <c r="E186" s="55" t="s">
        <v>38</v>
      </c>
      <c r="F186" s="234">
        <v>400</v>
      </c>
      <c r="G186" s="235">
        <f t="shared" si="9"/>
        <v>16000</v>
      </c>
      <c r="H186" s="234">
        <v>70</v>
      </c>
      <c r="I186" s="234">
        <f t="shared" si="10"/>
        <v>2800</v>
      </c>
      <c r="J186" s="234">
        <f t="shared" si="11"/>
        <v>18800</v>
      </c>
      <c r="K186" s="236"/>
    </row>
    <row r="187" spans="1:13" ht="26.1" customHeight="1" x14ac:dyDescent="0.2">
      <c r="A187" s="42"/>
      <c r="B187" s="43" t="s">
        <v>63</v>
      </c>
      <c r="C187" s="48" t="s">
        <v>325</v>
      </c>
      <c r="D187" s="256">
        <f>D182</f>
        <v>40</v>
      </c>
      <c r="E187" s="43" t="s">
        <v>38</v>
      </c>
      <c r="F187" s="240">
        <v>390</v>
      </c>
      <c r="G187" s="250">
        <f t="shared" si="9"/>
        <v>15600</v>
      </c>
      <c r="H187" s="240">
        <v>120</v>
      </c>
      <c r="I187" s="240">
        <f t="shared" si="10"/>
        <v>4800</v>
      </c>
      <c r="J187" s="240">
        <f t="shared" si="11"/>
        <v>20400</v>
      </c>
      <c r="K187" s="254"/>
    </row>
    <row r="188" spans="1:13" ht="26.1" customHeight="1" x14ac:dyDescent="0.2">
      <c r="A188" s="42"/>
      <c r="B188" s="43" t="s">
        <v>64</v>
      </c>
      <c r="C188" s="48" t="s">
        <v>326</v>
      </c>
      <c r="D188" s="256">
        <f>D186</f>
        <v>40</v>
      </c>
      <c r="E188" s="43" t="s">
        <v>38</v>
      </c>
      <c r="F188" s="240">
        <v>370</v>
      </c>
      <c r="G188" s="250">
        <f t="shared" si="9"/>
        <v>14800</v>
      </c>
      <c r="H188" s="240">
        <v>120</v>
      </c>
      <c r="I188" s="240">
        <f t="shared" si="10"/>
        <v>4800</v>
      </c>
      <c r="J188" s="240">
        <f t="shared" si="11"/>
        <v>19600</v>
      </c>
      <c r="K188" s="254"/>
    </row>
    <row r="189" spans="1:13" ht="26.1" customHeight="1" x14ac:dyDescent="0.2">
      <c r="A189" s="42"/>
      <c r="B189" s="43" t="s">
        <v>65</v>
      </c>
      <c r="C189" s="48" t="s">
        <v>327</v>
      </c>
      <c r="D189" s="256">
        <v>0</v>
      </c>
      <c r="E189" s="43" t="s">
        <v>38</v>
      </c>
      <c r="F189" s="240">
        <v>125</v>
      </c>
      <c r="G189" s="250">
        <f t="shared" si="9"/>
        <v>0</v>
      </c>
      <c r="H189" s="240">
        <v>25</v>
      </c>
      <c r="I189" s="240">
        <f t="shared" si="10"/>
        <v>0</v>
      </c>
      <c r="J189" s="240">
        <f t="shared" si="11"/>
        <v>0</v>
      </c>
      <c r="K189" s="254"/>
    </row>
    <row r="190" spans="1:13" ht="26.1" customHeight="1" x14ac:dyDescent="0.2">
      <c r="A190" s="42"/>
      <c r="B190" s="43" t="s">
        <v>336</v>
      </c>
      <c r="C190" s="48" t="s">
        <v>328</v>
      </c>
      <c r="D190" s="507">
        <v>40</v>
      </c>
      <c r="E190" s="43" t="s">
        <v>38</v>
      </c>
      <c r="F190" s="240">
        <v>180</v>
      </c>
      <c r="G190" s="250">
        <f t="shared" si="9"/>
        <v>7200</v>
      </c>
      <c r="H190" s="240">
        <v>130</v>
      </c>
      <c r="I190" s="240">
        <f t="shared" si="10"/>
        <v>5200</v>
      </c>
      <c r="J190" s="240">
        <f t="shared" si="11"/>
        <v>12400</v>
      </c>
      <c r="K190" s="254"/>
    </row>
    <row r="191" spans="1:13" ht="26.1" customHeight="1" x14ac:dyDescent="0.2">
      <c r="A191" s="42"/>
      <c r="B191" s="43" t="s">
        <v>337</v>
      </c>
      <c r="C191" s="48" t="s">
        <v>330</v>
      </c>
      <c r="D191" s="507">
        <v>40</v>
      </c>
      <c r="E191" s="43" t="s">
        <v>66</v>
      </c>
      <c r="F191" s="240">
        <v>100</v>
      </c>
      <c r="G191" s="250">
        <f t="shared" si="9"/>
        <v>4000</v>
      </c>
      <c r="H191" s="240">
        <v>70</v>
      </c>
      <c r="I191" s="240">
        <f t="shared" si="10"/>
        <v>2800</v>
      </c>
      <c r="J191" s="240">
        <f t="shared" si="11"/>
        <v>6800</v>
      </c>
      <c r="K191" s="254"/>
    </row>
    <row r="192" spans="1:13" ht="26.1" customHeight="1" x14ac:dyDescent="0.2">
      <c r="A192" s="42"/>
      <c r="B192" s="43" t="s">
        <v>338</v>
      </c>
      <c r="C192" s="48" t="s">
        <v>331</v>
      </c>
      <c r="D192" s="507">
        <f>40*2</f>
        <v>80</v>
      </c>
      <c r="E192" s="43" t="s">
        <v>38</v>
      </c>
      <c r="F192" s="240">
        <v>200</v>
      </c>
      <c r="G192" s="250">
        <f t="shared" si="9"/>
        <v>16000</v>
      </c>
      <c r="H192" s="240">
        <v>75</v>
      </c>
      <c r="I192" s="240">
        <f t="shared" si="10"/>
        <v>6000</v>
      </c>
      <c r="J192" s="240">
        <f t="shared" si="11"/>
        <v>22000</v>
      </c>
      <c r="K192" s="254"/>
    </row>
    <row r="193" spans="1:13" ht="26.1" customHeight="1" x14ac:dyDescent="0.2">
      <c r="A193" s="42"/>
      <c r="B193" s="43" t="s">
        <v>340</v>
      </c>
      <c r="C193" s="48" t="s">
        <v>332</v>
      </c>
      <c r="D193" s="507">
        <f>D181+D182+D183+D186+D195</f>
        <v>200</v>
      </c>
      <c r="E193" s="43" t="s">
        <v>38</v>
      </c>
      <c r="F193" s="240">
        <v>80</v>
      </c>
      <c r="G193" s="250">
        <f t="shared" si="9"/>
        <v>16000</v>
      </c>
      <c r="H193" s="240">
        <v>35</v>
      </c>
      <c r="I193" s="240">
        <f t="shared" si="10"/>
        <v>7000</v>
      </c>
      <c r="J193" s="240">
        <f t="shared" si="11"/>
        <v>23000</v>
      </c>
      <c r="K193" s="254"/>
    </row>
    <row r="194" spans="1:13" ht="26.1" customHeight="1" x14ac:dyDescent="0.2">
      <c r="A194" s="42"/>
      <c r="B194" s="43" t="s">
        <v>341</v>
      </c>
      <c r="C194" s="48" t="s">
        <v>329</v>
      </c>
      <c r="D194" s="256">
        <f>D183</f>
        <v>40</v>
      </c>
      <c r="E194" s="43" t="s">
        <v>38</v>
      </c>
      <c r="F194" s="240">
        <v>280</v>
      </c>
      <c r="G194" s="250">
        <f t="shared" si="9"/>
        <v>11200</v>
      </c>
      <c r="H194" s="240">
        <v>70</v>
      </c>
      <c r="I194" s="240">
        <f t="shared" si="10"/>
        <v>2800</v>
      </c>
      <c r="J194" s="240">
        <f t="shared" si="11"/>
        <v>14000</v>
      </c>
      <c r="K194" s="254"/>
    </row>
    <row r="195" spans="1:13" ht="26.1" customHeight="1" x14ac:dyDescent="0.2">
      <c r="A195" s="42"/>
      <c r="B195" s="43" t="s">
        <v>343</v>
      </c>
      <c r="C195" s="48" t="s">
        <v>454</v>
      </c>
      <c r="D195" s="256">
        <v>40</v>
      </c>
      <c r="E195" s="43" t="s">
        <v>38</v>
      </c>
      <c r="F195" s="240">
        <f>2600+300+4000+3000</f>
        <v>9900</v>
      </c>
      <c r="G195" s="250">
        <f>D195*F195</f>
        <v>396000</v>
      </c>
      <c r="H195" s="240">
        <v>0</v>
      </c>
      <c r="I195" s="240">
        <f>D195*H195</f>
        <v>0</v>
      </c>
      <c r="J195" s="240">
        <f>G195+I195</f>
        <v>396000</v>
      </c>
      <c r="K195" s="254" t="s">
        <v>87</v>
      </c>
    </row>
    <row r="196" spans="1:13" ht="26.1" customHeight="1" thickBot="1" x14ac:dyDescent="0.25">
      <c r="A196" s="42"/>
      <c r="B196" s="43"/>
      <c r="C196" s="48" t="s">
        <v>455</v>
      </c>
      <c r="D196" s="256"/>
      <c r="E196" s="43"/>
      <c r="F196" s="240"/>
      <c r="G196" s="250"/>
      <c r="H196" s="240"/>
      <c r="I196" s="240"/>
      <c r="J196" s="240"/>
      <c r="K196" s="254"/>
    </row>
    <row r="197" spans="1:13" ht="26.1" customHeight="1" thickBot="1" x14ac:dyDescent="0.25">
      <c r="A197" s="61"/>
      <c r="B197" s="601" t="s">
        <v>259</v>
      </c>
      <c r="C197" s="600"/>
      <c r="D197" s="600"/>
      <c r="E197" s="600"/>
      <c r="F197" s="600"/>
      <c r="G197" s="600"/>
      <c r="H197" s="600"/>
      <c r="I197" s="540"/>
      <c r="J197" s="62">
        <f>SUM(J180:J196)</f>
        <v>919000</v>
      </c>
      <c r="K197" s="63"/>
    </row>
    <row r="198" spans="1:13" s="6" customFormat="1" ht="26.1" customHeight="1" x14ac:dyDescent="0.2">
      <c r="A198" s="6" t="str">
        <f>รวมราคา!A1</f>
        <v xml:space="preserve">ประมาณราคาค่าก่อสร้าง </v>
      </c>
      <c r="C198" s="88" t="str">
        <f>รวมราคา!C1</f>
        <v>อาคารที่พักอาศัย (แฟลต) จำนวน 40 ครอบครัว สูง 5 ชั้น (ใต้ถุนโล่ง)</v>
      </c>
      <c r="J198" s="110" t="str">
        <f>รวมราคา!J1</f>
        <v>แบบ ปร.4   แผ่นที่</v>
      </c>
      <c r="K198" s="292">
        <v>11</v>
      </c>
      <c r="L198" s="265"/>
      <c r="M198" s="265"/>
    </row>
    <row r="199" spans="1:13" s="6" customFormat="1" ht="26.1" customHeight="1" x14ac:dyDescent="0.2">
      <c r="A199" s="6" t="str">
        <f>รวมราคา!A2</f>
        <v xml:space="preserve">สถานที่ก่อสร้าง  </v>
      </c>
      <c r="C199" s="447" t="str">
        <f>รวมราคา!C2</f>
        <v>บก.ตชก.ภาค 2 ถ.หลังศูนย์ราชการ ต.ในเมือง อ.เมือง จ.ขอนแก่น</v>
      </c>
      <c r="G199" s="6" t="str">
        <f>รวมราคา!G2</f>
        <v xml:space="preserve">แบบเลขที่ </v>
      </c>
      <c r="H199" s="447" t="str">
        <f>รวมราคา!H2</f>
        <v>ตร.10817/60</v>
      </c>
      <c r="L199" s="265"/>
      <c r="M199" s="265"/>
    </row>
    <row r="200" spans="1:13" s="6" customFormat="1" ht="26.1" customHeight="1" x14ac:dyDescent="0.2">
      <c r="A200" s="6" t="str">
        <f>รวมราคา!A3</f>
        <v xml:space="preserve">ฝ่ายประมาณราคา   </v>
      </c>
      <c r="C200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200" s="6" t="str">
        <f>รวมราคา!G3</f>
        <v>กำหนดราคากลางเมื่อ</v>
      </c>
      <c r="H200" s="108"/>
      <c r="L200" s="265"/>
      <c r="M200" s="265"/>
    </row>
    <row r="201" spans="1:13" s="6" customFormat="1" ht="26.1" customHeight="1" thickBot="1" x14ac:dyDescent="0.25">
      <c r="A201" s="87" t="str">
        <f>รวมราคา!A4</f>
        <v xml:space="preserve">ประมาณราคาโดย  </v>
      </c>
      <c r="B201" s="87"/>
      <c r="C201" s="89"/>
      <c r="D201" s="87"/>
      <c r="E201" s="87"/>
      <c r="F201" s="87"/>
      <c r="G201" s="87"/>
      <c r="H201" s="87"/>
      <c r="I201" s="87"/>
      <c r="J201" s="87"/>
      <c r="L201" s="265"/>
      <c r="M201" s="265"/>
    </row>
    <row r="202" spans="1:13" s="6" customFormat="1" ht="26.1" customHeight="1" thickBot="1" x14ac:dyDescent="0.25">
      <c r="A202" s="522" t="s">
        <v>3</v>
      </c>
      <c r="B202" s="522" t="s">
        <v>4</v>
      </c>
      <c r="C202" s="522"/>
      <c r="D202" s="522" t="s">
        <v>18</v>
      </c>
      <c r="E202" s="600" t="s">
        <v>19</v>
      </c>
      <c r="F202" s="593" t="s">
        <v>20</v>
      </c>
      <c r="G202" s="593"/>
      <c r="H202" s="593" t="s">
        <v>21</v>
      </c>
      <c r="I202" s="593"/>
      <c r="J202" s="39" t="s">
        <v>22</v>
      </c>
      <c r="K202" s="540" t="s">
        <v>8</v>
      </c>
      <c r="L202" s="265"/>
      <c r="M202" s="265"/>
    </row>
    <row r="203" spans="1:13" s="6" customFormat="1" ht="26.1" customHeight="1" thickBot="1" x14ac:dyDescent="0.25">
      <c r="A203" s="522"/>
      <c r="B203" s="522"/>
      <c r="C203" s="522"/>
      <c r="D203" s="522"/>
      <c r="E203" s="600"/>
      <c r="F203" s="441" t="s">
        <v>23</v>
      </c>
      <c r="G203" s="40" t="s">
        <v>24</v>
      </c>
      <c r="H203" s="441" t="s">
        <v>23</v>
      </c>
      <c r="I203" s="441" t="s">
        <v>24</v>
      </c>
      <c r="J203" s="41" t="s">
        <v>25</v>
      </c>
      <c r="K203" s="540"/>
      <c r="L203" s="265"/>
      <c r="M203" s="265"/>
    </row>
    <row r="204" spans="1:13" s="6" customFormat="1" ht="26.1" customHeight="1" x14ac:dyDescent="0.2">
      <c r="A204" s="20"/>
      <c r="B204" s="222">
        <v>2.8</v>
      </c>
      <c r="C204" s="221" t="s">
        <v>261</v>
      </c>
      <c r="D204" s="230"/>
      <c r="E204" s="222"/>
      <c r="F204" s="24"/>
      <c r="G204" s="223"/>
      <c r="H204" s="24"/>
      <c r="I204" s="24"/>
      <c r="J204" s="24"/>
      <c r="K204" s="224"/>
      <c r="L204" s="265"/>
      <c r="M204" s="265"/>
    </row>
    <row r="205" spans="1:13" ht="26.1" customHeight="1" x14ac:dyDescent="0.2">
      <c r="A205" s="42"/>
      <c r="B205" s="43" t="s">
        <v>67</v>
      </c>
      <c r="C205" s="48" t="s">
        <v>333</v>
      </c>
      <c r="D205" s="259">
        <v>0</v>
      </c>
      <c r="E205" s="43" t="s">
        <v>40</v>
      </c>
      <c r="F205" s="240"/>
      <c r="G205" s="250">
        <f>D205*F205</f>
        <v>0</v>
      </c>
      <c r="H205" s="240"/>
      <c r="I205" s="240">
        <f>D205*H205</f>
        <v>0</v>
      </c>
      <c r="J205" s="240">
        <f>G205+I205</f>
        <v>0</v>
      </c>
      <c r="K205" s="236"/>
    </row>
    <row r="206" spans="1:13" ht="26.1" customHeight="1" x14ac:dyDescent="0.2">
      <c r="A206" s="42"/>
      <c r="B206" s="43" t="s">
        <v>68</v>
      </c>
      <c r="C206" s="48" t="s">
        <v>312</v>
      </c>
      <c r="D206" s="259">
        <v>0</v>
      </c>
      <c r="E206" s="43" t="s">
        <v>40</v>
      </c>
      <c r="F206" s="240"/>
      <c r="G206" s="250">
        <f t="shared" ref="G206:G216" si="12">D206*F206</f>
        <v>0</v>
      </c>
      <c r="H206" s="240"/>
      <c r="I206" s="240">
        <f t="shared" ref="I206:I216" si="13">D206*H206</f>
        <v>0</v>
      </c>
      <c r="J206" s="240">
        <f t="shared" ref="J206:J216" si="14">G206+I206</f>
        <v>0</v>
      </c>
      <c r="K206" s="236"/>
    </row>
    <row r="207" spans="1:13" ht="26.1" customHeight="1" x14ac:dyDescent="0.2">
      <c r="A207" s="42"/>
      <c r="B207" s="43" t="s">
        <v>347</v>
      </c>
      <c r="C207" s="48" t="s">
        <v>334</v>
      </c>
      <c r="D207" s="259">
        <v>0</v>
      </c>
      <c r="E207" s="43" t="s">
        <v>40</v>
      </c>
      <c r="F207" s="240"/>
      <c r="G207" s="250">
        <f t="shared" si="12"/>
        <v>0</v>
      </c>
      <c r="H207" s="240"/>
      <c r="I207" s="240">
        <f t="shared" si="13"/>
        <v>0</v>
      </c>
      <c r="J207" s="240">
        <f t="shared" si="14"/>
        <v>0</v>
      </c>
      <c r="K207" s="254"/>
    </row>
    <row r="208" spans="1:13" ht="26.1" customHeight="1" x14ac:dyDescent="0.2">
      <c r="A208" s="42"/>
      <c r="B208" s="43" t="s">
        <v>348</v>
      </c>
      <c r="C208" s="48" t="s">
        <v>335</v>
      </c>
      <c r="D208" s="259">
        <v>0</v>
      </c>
      <c r="E208" s="43" t="s">
        <v>40</v>
      </c>
      <c r="F208" s="240"/>
      <c r="G208" s="250">
        <f t="shared" si="12"/>
        <v>0</v>
      </c>
      <c r="H208" s="240"/>
      <c r="I208" s="240">
        <f t="shared" si="13"/>
        <v>0</v>
      </c>
      <c r="J208" s="240">
        <f t="shared" si="14"/>
        <v>0</v>
      </c>
      <c r="K208" s="254"/>
    </row>
    <row r="209" spans="1:11" ht="26.1" customHeight="1" x14ac:dyDescent="0.2">
      <c r="A209" s="42"/>
      <c r="B209" s="43" t="s">
        <v>349</v>
      </c>
      <c r="C209" s="48" t="s">
        <v>414</v>
      </c>
      <c r="D209" s="259">
        <f>(2.5*8)+1.5</f>
        <v>21.5</v>
      </c>
      <c r="E209" s="43" t="s">
        <v>71</v>
      </c>
      <c r="F209" s="240">
        <v>500</v>
      </c>
      <c r="G209" s="250">
        <f t="shared" si="12"/>
        <v>10750</v>
      </c>
      <c r="H209" s="240">
        <v>0</v>
      </c>
      <c r="I209" s="240">
        <f t="shared" si="13"/>
        <v>0</v>
      </c>
      <c r="J209" s="240">
        <f t="shared" si="14"/>
        <v>10750</v>
      </c>
      <c r="K209" s="254"/>
    </row>
    <row r="210" spans="1:11" ht="26.1" customHeight="1" x14ac:dyDescent="0.2">
      <c r="A210" s="42"/>
      <c r="B210" s="43" t="s">
        <v>350</v>
      </c>
      <c r="C210" s="48" t="s">
        <v>415</v>
      </c>
      <c r="D210" s="259">
        <f>D93</f>
        <v>240</v>
      </c>
      <c r="E210" s="43" t="s">
        <v>71</v>
      </c>
      <c r="F210" s="240">
        <v>350</v>
      </c>
      <c r="G210" s="250">
        <f t="shared" si="12"/>
        <v>84000</v>
      </c>
      <c r="H210" s="240">
        <v>0</v>
      </c>
      <c r="I210" s="240">
        <f t="shared" si="13"/>
        <v>0</v>
      </c>
      <c r="J210" s="240">
        <f t="shared" si="14"/>
        <v>84000</v>
      </c>
      <c r="K210" s="254"/>
    </row>
    <row r="211" spans="1:11" ht="26.1" customHeight="1" x14ac:dyDescent="0.2">
      <c r="A211" s="42"/>
      <c r="B211" s="43" t="s">
        <v>351</v>
      </c>
      <c r="C211" s="48" t="s">
        <v>459</v>
      </c>
      <c r="D211" s="256">
        <v>1</v>
      </c>
      <c r="E211" s="43" t="s">
        <v>38</v>
      </c>
      <c r="F211" s="240">
        <f>5000+3000</f>
        <v>8000</v>
      </c>
      <c r="G211" s="250">
        <f t="shared" si="12"/>
        <v>8000</v>
      </c>
      <c r="H211" s="240">
        <v>0</v>
      </c>
      <c r="I211" s="240">
        <f t="shared" si="13"/>
        <v>0</v>
      </c>
      <c r="J211" s="240">
        <f t="shared" si="14"/>
        <v>8000</v>
      </c>
      <c r="K211" s="254" t="s">
        <v>87</v>
      </c>
    </row>
    <row r="212" spans="1:11" ht="26.1" customHeight="1" x14ac:dyDescent="0.2">
      <c r="A212" s="42"/>
      <c r="B212" s="43" t="s">
        <v>352</v>
      </c>
      <c r="C212" s="48" t="s">
        <v>339</v>
      </c>
      <c r="D212" s="256">
        <v>2</v>
      </c>
      <c r="E212" s="43" t="s">
        <v>38</v>
      </c>
      <c r="F212" s="240">
        <v>3500</v>
      </c>
      <c r="G212" s="250">
        <f t="shared" si="12"/>
        <v>7000</v>
      </c>
      <c r="H212" s="240">
        <v>0</v>
      </c>
      <c r="I212" s="240">
        <f t="shared" si="13"/>
        <v>0</v>
      </c>
      <c r="J212" s="240">
        <f t="shared" si="14"/>
        <v>7000</v>
      </c>
      <c r="K212" s="254" t="s">
        <v>87</v>
      </c>
    </row>
    <row r="213" spans="1:11" ht="26.1" customHeight="1" x14ac:dyDescent="0.2">
      <c r="A213" s="42"/>
      <c r="B213" s="43" t="s">
        <v>353</v>
      </c>
      <c r="C213" s="48" t="s">
        <v>460</v>
      </c>
      <c r="D213" s="256">
        <v>1</v>
      </c>
      <c r="E213" s="43" t="s">
        <v>38</v>
      </c>
      <c r="F213" s="240">
        <f>7500+3500</f>
        <v>11000</v>
      </c>
      <c r="G213" s="250">
        <f t="shared" si="12"/>
        <v>11000</v>
      </c>
      <c r="H213" s="240">
        <v>0</v>
      </c>
      <c r="I213" s="240">
        <f t="shared" si="13"/>
        <v>0</v>
      </c>
      <c r="J213" s="240">
        <f t="shared" si="14"/>
        <v>11000</v>
      </c>
      <c r="K213" s="254" t="s">
        <v>87</v>
      </c>
    </row>
    <row r="214" spans="1:11" ht="26.1" customHeight="1" x14ac:dyDescent="0.2">
      <c r="A214" s="42"/>
      <c r="B214" s="43" t="s">
        <v>354</v>
      </c>
      <c r="C214" s="48" t="s">
        <v>344</v>
      </c>
      <c r="D214" s="256">
        <v>10</v>
      </c>
      <c r="E214" s="43" t="s">
        <v>38</v>
      </c>
      <c r="F214" s="240">
        <v>990</v>
      </c>
      <c r="G214" s="250">
        <f t="shared" si="12"/>
        <v>9900</v>
      </c>
      <c r="H214" s="240">
        <v>0</v>
      </c>
      <c r="I214" s="240">
        <f t="shared" si="13"/>
        <v>0</v>
      </c>
      <c r="J214" s="240">
        <f t="shared" si="14"/>
        <v>9900</v>
      </c>
      <c r="K214" s="254" t="s">
        <v>87</v>
      </c>
    </row>
    <row r="215" spans="1:11" ht="26.1" customHeight="1" x14ac:dyDescent="0.2">
      <c r="A215" s="42"/>
      <c r="B215" s="43" t="s">
        <v>355</v>
      </c>
      <c r="C215" s="48" t="s">
        <v>345</v>
      </c>
      <c r="D215" s="256">
        <v>0</v>
      </c>
      <c r="E215" s="43" t="s">
        <v>31</v>
      </c>
      <c r="F215" s="240"/>
      <c r="G215" s="250">
        <f t="shared" si="12"/>
        <v>0</v>
      </c>
      <c r="H215" s="240"/>
      <c r="I215" s="240">
        <f t="shared" si="13"/>
        <v>0</v>
      </c>
      <c r="J215" s="240">
        <f t="shared" si="14"/>
        <v>0</v>
      </c>
      <c r="K215" s="254"/>
    </row>
    <row r="216" spans="1:11" ht="26.1" customHeight="1" x14ac:dyDescent="0.2">
      <c r="A216" s="42"/>
      <c r="B216" s="43" t="s">
        <v>356</v>
      </c>
      <c r="C216" s="48" t="s">
        <v>346</v>
      </c>
      <c r="D216" s="256">
        <v>0</v>
      </c>
      <c r="E216" s="43" t="s">
        <v>31</v>
      </c>
      <c r="F216" s="240"/>
      <c r="G216" s="250">
        <f t="shared" si="12"/>
        <v>0</v>
      </c>
      <c r="H216" s="240"/>
      <c r="I216" s="240">
        <f t="shared" si="13"/>
        <v>0</v>
      </c>
      <c r="J216" s="240">
        <f t="shared" si="14"/>
        <v>0</v>
      </c>
      <c r="K216" s="254"/>
    </row>
    <row r="217" spans="1:11" ht="26.1" customHeight="1" x14ac:dyDescent="0.2">
      <c r="A217" s="42"/>
      <c r="B217" s="43"/>
      <c r="C217" s="48"/>
      <c r="D217" s="256"/>
      <c r="E217" s="43"/>
      <c r="F217" s="240"/>
      <c r="G217" s="250"/>
      <c r="H217" s="240"/>
      <c r="I217" s="240"/>
      <c r="J217" s="240"/>
      <c r="K217" s="254"/>
    </row>
    <row r="218" spans="1:11" ht="26.1" customHeight="1" x14ac:dyDescent="0.2">
      <c r="A218" s="42"/>
      <c r="B218" s="43"/>
      <c r="C218" s="48"/>
      <c r="D218" s="256"/>
      <c r="E218" s="43"/>
      <c r="F218" s="240"/>
      <c r="G218" s="250"/>
      <c r="H218" s="240"/>
      <c r="I218" s="240"/>
      <c r="J218" s="240"/>
      <c r="K218" s="254"/>
    </row>
    <row r="219" spans="1:11" ht="26.1" customHeight="1" x14ac:dyDescent="0.2">
      <c r="A219" s="42"/>
      <c r="B219" s="43"/>
      <c r="C219" s="48"/>
      <c r="D219" s="256"/>
      <c r="E219" s="43"/>
      <c r="F219" s="240"/>
      <c r="G219" s="250"/>
      <c r="H219" s="240"/>
      <c r="I219" s="240"/>
      <c r="J219" s="240"/>
      <c r="K219" s="254"/>
    </row>
    <row r="220" spans="1:11" ht="26.1" customHeight="1" thickBot="1" x14ac:dyDescent="0.25">
      <c r="A220" s="42"/>
      <c r="B220" s="59"/>
      <c r="C220" s="48"/>
      <c r="D220" s="70"/>
      <c r="E220" s="43"/>
      <c r="F220" s="44"/>
      <c r="G220" s="45"/>
      <c r="H220" s="44"/>
      <c r="I220" s="44"/>
      <c r="J220" s="44"/>
      <c r="K220" s="46"/>
    </row>
    <row r="221" spans="1:11" ht="26.1" customHeight="1" thickBot="1" x14ac:dyDescent="0.25">
      <c r="A221" s="61"/>
      <c r="B221" s="601" t="s">
        <v>260</v>
      </c>
      <c r="C221" s="600"/>
      <c r="D221" s="600"/>
      <c r="E221" s="600"/>
      <c r="F221" s="600"/>
      <c r="G221" s="600"/>
      <c r="H221" s="600"/>
      <c r="I221" s="540"/>
      <c r="J221" s="62">
        <f>SUM(J204:J220)</f>
        <v>130650</v>
      </c>
      <c r="K221" s="63"/>
    </row>
  </sheetData>
  <mergeCells count="72">
    <mergeCell ref="A154:A155"/>
    <mergeCell ref="A105:A106"/>
    <mergeCell ref="B24:I24"/>
    <mergeCell ref="B50:I50"/>
    <mergeCell ref="A55:A56"/>
    <mergeCell ref="F29:G29"/>
    <mergeCell ref="A80:A81"/>
    <mergeCell ref="H29:I29"/>
    <mergeCell ref="A130:A131"/>
    <mergeCell ref="D130:D131"/>
    <mergeCell ref="E130:E131"/>
    <mergeCell ref="F130:G130"/>
    <mergeCell ref="B130:C131"/>
    <mergeCell ref="B125:I125"/>
    <mergeCell ref="H130:I130"/>
    <mergeCell ref="A5:A6"/>
    <mergeCell ref="B5:C6"/>
    <mergeCell ref="D5:D6"/>
    <mergeCell ref="H55:I55"/>
    <mergeCell ref="A29:A30"/>
    <mergeCell ref="E5:E6"/>
    <mergeCell ref="B29:C30"/>
    <mergeCell ref="D29:D30"/>
    <mergeCell ref="E29:E30"/>
    <mergeCell ref="B55:C56"/>
    <mergeCell ref="D55:D56"/>
    <mergeCell ref="E55:E56"/>
    <mergeCell ref="F55:G55"/>
    <mergeCell ref="B221:I221"/>
    <mergeCell ref="B149:I149"/>
    <mergeCell ref="K105:K106"/>
    <mergeCell ref="K80:K81"/>
    <mergeCell ref="B75:I75"/>
    <mergeCell ref="B80:C81"/>
    <mergeCell ref="D80:D81"/>
    <mergeCell ref="D105:D106"/>
    <mergeCell ref="E105:E106"/>
    <mergeCell ref="F105:G105"/>
    <mergeCell ref="B105:C106"/>
    <mergeCell ref="E80:E81"/>
    <mergeCell ref="B100:I100"/>
    <mergeCell ref="F80:G80"/>
    <mergeCell ref="H80:I80"/>
    <mergeCell ref="H105:I105"/>
    <mergeCell ref="B202:C203"/>
    <mergeCell ref="H202:I202"/>
    <mergeCell ref="K29:K30"/>
    <mergeCell ref="F5:G5"/>
    <mergeCell ref="H5:I5"/>
    <mergeCell ref="K5:K6"/>
    <mergeCell ref="K55:K56"/>
    <mergeCell ref="E154:E155"/>
    <mergeCell ref="K154:K155"/>
    <mergeCell ref="K130:K131"/>
    <mergeCell ref="K202:K203"/>
    <mergeCell ref="K178:K179"/>
    <mergeCell ref="A202:A203"/>
    <mergeCell ref="A178:A179"/>
    <mergeCell ref="F202:G202"/>
    <mergeCell ref="B173:I173"/>
    <mergeCell ref="F154:G154"/>
    <mergeCell ref="H154:I154"/>
    <mergeCell ref="B197:I197"/>
    <mergeCell ref="D178:D179"/>
    <mergeCell ref="E178:E179"/>
    <mergeCell ref="D202:D203"/>
    <mergeCell ref="E202:E203"/>
    <mergeCell ref="B178:C179"/>
    <mergeCell ref="B154:C155"/>
    <mergeCell ref="D154:D155"/>
    <mergeCell ref="F178:G178"/>
    <mergeCell ref="H178:I178"/>
  </mergeCells>
  <phoneticPr fontId="0" type="noConversion"/>
  <printOptions horizontalCentered="1" verticalCentered="1"/>
  <pageMargins left="0.47244094488188981" right="0.47244094488188981" top="0.39370078740157483" bottom="0.27559055118110237" header="0.51181102362204722" footer="0.51181102362204722"/>
  <pageSetup paperSize="9" scale="73" firstPageNumber="0" orientation="landscape" r:id="rId1"/>
  <headerFooter alignWithMargins="0"/>
  <rowBreaks count="8" manualBreakCount="8">
    <brk id="24" max="10" man="1"/>
    <brk id="50" max="10" man="1"/>
    <brk id="75" max="10" man="1"/>
    <brk id="100" max="10" man="1"/>
    <brk id="125" max="10" man="1"/>
    <brk id="149" max="10" man="1"/>
    <brk id="173" max="16383" man="1"/>
    <brk id="19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FF5E6-30DD-432A-9435-408955C96AF8}">
  <dimension ref="A1:M49"/>
  <sheetViews>
    <sheetView view="pageBreakPreview" topLeftCell="A37" zoomScaleSheetLayoutView="100" workbookViewId="0">
      <selection activeCell="C9" sqref="C9"/>
    </sheetView>
  </sheetViews>
  <sheetFormatPr defaultColWidth="9.140625" defaultRowHeight="26.1" customHeight="1" x14ac:dyDescent="0.2"/>
  <cols>
    <col min="1" max="2" width="10.7109375" style="447" customWidth="1"/>
    <col min="3" max="3" width="55.7109375" style="447" customWidth="1"/>
    <col min="4" max="4" width="12.7109375" style="437" customWidth="1"/>
    <col min="5" max="5" width="10.7109375" style="447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3.7109375" style="447" customWidth="1"/>
    <col min="12" max="16384" width="9.140625" style="447"/>
  </cols>
  <sheetData>
    <row r="1" spans="1:11" s="6" customFormat="1" ht="26.1" customHeight="1" x14ac:dyDescent="0.2">
      <c r="A1" s="6" t="str">
        <f>รวมราคา!A1</f>
        <v xml:space="preserve">ประมาณราคาค่าก่อสร้าง </v>
      </c>
      <c r="C1" s="88" t="str">
        <f>รวมราคา!C1</f>
        <v>อาคารที่พักอาศัย (แฟลต) จำนวน 40 ครอบครัว สูง 5 ชั้น (ใต้ถุนโล่ง)</v>
      </c>
      <c r="J1" s="447" t="str">
        <f>รวมราคา!J1</f>
        <v>แบบ ปร.4   แผ่นที่</v>
      </c>
      <c r="K1" s="88">
        <v>12</v>
      </c>
    </row>
    <row r="2" spans="1:11" s="6" customFormat="1" ht="26.1" customHeight="1" x14ac:dyDescent="0.2">
      <c r="A2" s="6" t="str">
        <f>รวมราคา!A2</f>
        <v xml:space="preserve">สถานที่ก่อสร้าง  </v>
      </c>
      <c r="C2" s="447" t="str">
        <f>รวมราคา!C2</f>
        <v>บก.ตชก.ภาค 2 ถ.หลังศูนย์ราชการ ต.ในเมือง อ.เมือง จ.ขอนแก่น</v>
      </c>
      <c r="G2" s="6" t="str">
        <f>รวมราคา!G2</f>
        <v xml:space="preserve">แบบเลขที่ </v>
      </c>
      <c r="H2" s="447" t="str">
        <f>รวมราคา!H2</f>
        <v>ตร.10817/60</v>
      </c>
    </row>
    <row r="3" spans="1:11" s="38" customFormat="1" ht="26.1" customHeight="1" x14ac:dyDescent="0.5">
      <c r="A3" s="6" t="str">
        <f>รวมราคา!A3</f>
        <v xml:space="preserve">ฝ่ายประมาณราคา   </v>
      </c>
      <c r="B3" s="6"/>
      <c r="C3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D3" s="6"/>
      <c r="E3" s="6"/>
      <c r="F3" s="6"/>
      <c r="G3" s="6" t="str">
        <f>รวมราคา!G3</f>
        <v>กำหนดราคากลางเมื่อ</v>
      </c>
      <c r="H3" s="447"/>
      <c r="I3" s="6"/>
      <c r="J3" s="6"/>
      <c r="K3" s="6"/>
    </row>
    <row r="4" spans="1:11" s="38" customFormat="1" ht="26.1" customHeight="1" thickBot="1" x14ac:dyDescent="0.55000000000000004">
      <c r="A4" s="87" t="str">
        <f>รวมราคา!A4</f>
        <v xml:space="preserve">ประมาณราคาโดย  </v>
      </c>
      <c r="B4" s="87"/>
      <c r="C4" s="89"/>
      <c r="D4" s="87"/>
      <c r="E4" s="87"/>
      <c r="F4" s="87"/>
      <c r="G4" s="87"/>
      <c r="H4" s="87"/>
      <c r="I4" s="87"/>
      <c r="J4" s="87"/>
    </row>
    <row r="5" spans="1:11" s="6" customFormat="1" ht="26.1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1" s="6" customFormat="1" ht="26.1" customHeight="1" x14ac:dyDescent="0.2">
      <c r="A6" s="522"/>
      <c r="B6" s="522"/>
      <c r="C6" s="522"/>
      <c r="D6" s="522"/>
      <c r="E6" s="600"/>
      <c r="F6" s="441" t="s">
        <v>23</v>
      </c>
      <c r="G6" s="40" t="s">
        <v>24</v>
      </c>
      <c r="H6" s="441" t="s">
        <v>23</v>
      </c>
      <c r="I6" s="441" t="s">
        <v>24</v>
      </c>
      <c r="J6" s="41" t="s">
        <v>25</v>
      </c>
      <c r="K6" s="540"/>
    </row>
    <row r="7" spans="1:11" s="6" customFormat="1" ht="26.1" customHeight="1" x14ac:dyDescent="0.2">
      <c r="A7" s="440">
        <v>3</v>
      </c>
      <c r="B7" s="17" t="s">
        <v>69</v>
      </c>
      <c r="C7" s="17"/>
      <c r="D7" s="440"/>
      <c r="E7" s="226"/>
      <c r="F7" s="439"/>
      <c r="G7" s="227"/>
      <c r="H7" s="439"/>
      <c r="I7" s="439"/>
      <c r="J7" s="439"/>
      <c r="K7" s="228"/>
    </row>
    <row r="8" spans="1:11" ht="26.1" customHeight="1" x14ac:dyDescent="0.5">
      <c r="A8" s="42"/>
      <c r="B8" s="43">
        <v>3.1</v>
      </c>
      <c r="C8" s="48" t="s">
        <v>262</v>
      </c>
      <c r="D8" s="231"/>
      <c r="E8" s="43"/>
      <c r="F8" s="44"/>
      <c r="G8" s="45"/>
      <c r="H8" s="44"/>
      <c r="I8" s="44"/>
      <c r="J8" s="44"/>
      <c r="K8" s="71"/>
    </row>
    <row r="9" spans="1:11" ht="26.1" customHeight="1" x14ac:dyDescent="0.5">
      <c r="A9" s="25"/>
      <c r="B9" s="55" t="s">
        <v>159</v>
      </c>
      <c r="C9" s="29" t="s">
        <v>263</v>
      </c>
      <c r="D9" s="231">
        <f>'2.สถาปัตย์'!D181</f>
        <v>40</v>
      </c>
      <c r="E9" s="43" t="s">
        <v>66</v>
      </c>
      <c r="F9" s="49">
        <v>1500</v>
      </c>
      <c r="G9" s="45">
        <f>F9*D9</f>
        <v>60000</v>
      </c>
      <c r="H9" s="44">
        <v>0</v>
      </c>
      <c r="I9" s="44">
        <f>H9*D9</f>
        <v>0</v>
      </c>
      <c r="J9" s="44">
        <f>I9+G9</f>
        <v>60000</v>
      </c>
      <c r="K9" s="71" t="s">
        <v>87</v>
      </c>
    </row>
    <row r="10" spans="1:11" ht="26.1" customHeight="1" x14ac:dyDescent="0.5">
      <c r="A10" s="25"/>
      <c r="B10" s="55" t="s">
        <v>159</v>
      </c>
      <c r="C10" s="29" t="s">
        <v>97</v>
      </c>
      <c r="D10" s="231">
        <v>0</v>
      </c>
      <c r="E10" s="43" t="s">
        <v>66</v>
      </c>
      <c r="F10" s="49">
        <v>900</v>
      </c>
      <c r="G10" s="45">
        <f>F10*D10</f>
        <v>0</v>
      </c>
      <c r="H10" s="44">
        <v>0</v>
      </c>
      <c r="I10" s="44">
        <f>H10*D10</f>
        <v>0</v>
      </c>
      <c r="J10" s="44">
        <f>I10+G10</f>
        <v>0</v>
      </c>
      <c r="K10" s="71" t="s">
        <v>87</v>
      </c>
    </row>
    <row r="11" spans="1:11" ht="26.1" customHeight="1" x14ac:dyDescent="0.5">
      <c r="A11" s="25"/>
      <c r="B11" s="55" t="s">
        <v>159</v>
      </c>
      <c r="C11" s="29" t="s">
        <v>264</v>
      </c>
      <c r="D11" s="231">
        <f>'2.สถาปัตย์'!D183+'2.สถาปัตย์'!D195</f>
        <v>80</v>
      </c>
      <c r="E11" s="43" t="s">
        <v>66</v>
      </c>
      <c r="F11" s="49">
        <v>900</v>
      </c>
      <c r="G11" s="45">
        <f>F11*D11</f>
        <v>72000</v>
      </c>
      <c r="H11" s="44">
        <v>0</v>
      </c>
      <c r="I11" s="44">
        <f>H11*D11</f>
        <v>0</v>
      </c>
      <c r="J11" s="44">
        <f>I11+G11</f>
        <v>72000</v>
      </c>
      <c r="K11" s="71" t="s">
        <v>87</v>
      </c>
    </row>
    <row r="12" spans="1:11" ht="26.1" customHeight="1" x14ac:dyDescent="0.2">
      <c r="A12" s="25"/>
      <c r="B12" s="55" t="s">
        <v>159</v>
      </c>
      <c r="C12" s="29" t="s">
        <v>265</v>
      </c>
      <c r="D12" s="232">
        <f>'2.สถาปัตย์'!D192</f>
        <v>80</v>
      </c>
      <c r="E12" s="55" t="s">
        <v>66</v>
      </c>
      <c r="F12" s="49">
        <v>600</v>
      </c>
      <c r="G12" s="56">
        <f>F12*D12</f>
        <v>48000</v>
      </c>
      <c r="H12" s="49">
        <v>0</v>
      </c>
      <c r="I12" s="49">
        <f>H12*D12</f>
        <v>0</v>
      </c>
      <c r="J12" s="49">
        <f>I12+G12</f>
        <v>48000</v>
      </c>
      <c r="K12" s="57" t="s">
        <v>87</v>
      </c>
    </row>
    <row r="13" spans="1:11" ht="26.1" customHeight="1" x14ac:dyDescent="0.2">
      <c r="A13" s="25"/>
      <c r="B13" s="55" t="s">
        <v>159</v>
      </c>
      <c r="C13" s="29" t="s">
        <v>266</v>
      </c>
      <c r="D13" s="232">
        <f>SUM(D9:D12)</f>
        <v>200</v>
      </c>
      <c r="E13" s="55" t="s">
        <v>66</v>
      </c>
      <c r="F13" s="49">
        <v>650</v>
      </c>
      <c r="G13" s="56">
        <f>F13*D13</f>
        <v>130000</v>
      </c>
      <c r="H13" s="49">
        <v>0</v>
      </c>
      <c r="I13" s="49">
        <f>H13*D13</f>
        <v>0</v>
      </c>
      <c r="J13" s="49">
        <f>I13+G13</f>
        <v>130000</v>
      </c>
      <c r="K13" s="57" t="s">
        <v>87</v>
      </c>
    </row>
    <row r="14" spans="1:11" ht="26.1" customHeight="1" x14ac:dyDescent="0.2">
      <c r="A14" s="25"/>
      <c r="B14" s="55">
        <v>3.2</v>
      </c>
      <c r="C14" s="29" t="s">
        <v>267</v>
      </c>
      <c r="D14" s="232"/>
      <c r="E14" s="55"/>
      <c r="F14" s="49"/>
      <c r="G14" s="56"/>
      <c r="H14" s="49"/>
      <c r="I14" s="49"/>
      <c r="J14" s="49"/>
      <c r="K14" s="57"/>
    </row>
    <row r="15" spans="1:11" ht="26.1" customHeight="1" x14ac:dyDescent="0.2">
      <c r="A15" s="25"/>
      <c r="B15" s="55" t="s">
        <v>159</v>
      </c>
      <c r="C15" s="29" t="s">
        <v>268</v>
      </c>
      <c r="D15" s="232">
        <f>D9+D10</f>
        <v>40</v>
      </c>
      <c r="E15" s="55" t="s">
        <v>66</v>
      </c>
      <c r="F15" s="49">
        <v>600</v>
      </c>
      <c r="G15" s="56">
        <f>F15*D15</f>
        <v>24000</v>
      </c>
      <c r="H15" s="49">
        <v>0</v>
      </c>
      <c r="I15" s="49">
        <f>H15*D15</f>
        <v>0</v>
      </c>
      <c r="J15" s="49">
        <f>I15+G15</f>
        <v>24000</v>
      </c>
      <c r="K15" s="57" t="s">
        <v>87</v>
      </c>
    </row>
    <row r="16" spans="1:11" ht="26.1" customHeight="1" x14ac:dyDescent="0.2">
      <c r="A16" s="25"/>
      <c r="B16" s="55" t="s">
        <v>159</v>
      </c>
      <c r="C16" s="29" t="s">
        <v>264</v>
      </c>
      <c r="D16" s="233">
        <f>D11</f>
        <v>80</v>
      </c>
      <c r="E16" s="55" t="s">
        <v>66</v>
      </c>
      <c r="F16" s="49">
        <v>600</v>
      </c>
      <c r="G16" s="56">
        <f>F16*D16</f>
        <v>48000</v>
      </c>
      <c r="H16" s="49">
        <v>0</v>
      </c>
      <c r="I16" s="49">
        <f>H16*D16</f>
        <v>0</v>
      </c>
      <c r="J16" s="49">
        <f>I16+G16</f>
        <v>48000</v>
      </c>
      <c r="K16" s="57" t="s">
        <v>87</v>
      </c>
    </row>
    <row r="17" spans="1:13" ht="26.1" customHeight="1" x14ac:dyDescent="0.2">
      <c r="A17" s="25"/>
      <c r="B17" s="55" t="s">
        <v>159</v>
      </c>
      <c r="C17" s="29" t="s">
        <v>269</v>
      </c>
      <c r="D17" s="233">
        <f>'2.สถาปัตย์'!D189+'2.สถาปัตย์'!D186+'2.สถาปัตย์'!D182</f>
        <v>80</v>
      </c>
      <c r="E17" s="55" t="s">
        <v>66</v>
      </c>
      <c r="F17" s="49">
        <v>600</v>
      </c>
      <c r="G17" s="56">
        <f>F17*D17</f>
        <v>48000</v>
      </c>
      <c r="H17" s="49">
        <v>0</v>
      </c>
      <c r="I17" s="49">
        <f>H17*D17</f>
        <v>0</v>
      </c>
      <c r="J17" s="49">
        <f>I17+G17</f>
        <v>48000</v>
      </c>
      <c r="K17" s="57" t="s">
        <v>87</v>
      </c>
    </row>
    <row r="18" spans="1:13" ht="26.1" customHeight="1" x14ac:dyDescent="0.2">
      <c r="A18" s="25"/>
      <c r="B18" s="55">
        <v>3.3</v>
      </c>
      <c r="C18" s="29" t="s">
        <v>416</v>
      </c>
      <c r="D18" s="269">
        <v>3</v>
      </c>
      <c r="E18" s="55" t="s">
        <v>417</v>
      </c>
      <c r="F18" s="234">
        <v>1728</v>
      </c>
      <c r="G18" s="235">
        <f t="shared" ref="G18:G24" si="0">D18*F18</f>
        <v>5184</v>
      </c>
      <c r="H18" s="234">
        <v>240</v>
      </c>
      <c r="I18" s="234">
        <f t="shared" ref="I18:I24" si="1">D18*H18</f>
        <v>720</v>
      </c>
      <c r="J18" s="234">
        <f t="shared" ref="J18:J24" si="2">G18+I18</f>
        <v>5904</v>
      </c>
      <c r="K18" s="236"/>
    </row>
    <row r="19" spans="1:13" ht="26.1" customHeight="1" x14ac:dyDescent="0.2">
      <c r="A19" s="25"/>
      <c r="B19" s="55">
        <v>3.4</v>
      </c>
      <c r="C19" s="29" t="s">
        <v>418</v>
      </c>
      <c r="D19" s="269">
        <v>4</v>
      </c>
      <c r="E19" s="55" t="s">
        <v>417</v>
      </c>
      <c r="F19" s="234">
        <v>3264</v>
      </c>
      <c r="G19" s="235">
        <f t="shared" si="0"/>
        <v>13056</v>
      </c>
      <c r="H19" s="234">
        <v>360</v>
      </c>
      <c r="I19" s="234">
        <f t="shared" si="1"/>
        <v>1440</v>
      </c>
      <c r="J19" s="234">
        <f t="shared" si="2"/>
        <v>14496</v>
      </c>
      <c r="K19" s="236"/>
    </row>
    <row r="20" spans="1:13" ht="26.1" customHeight="1" x14ac:dyDescent="0.2">
      <c r="A20" s="25"/>
      <c r="B20" s="55">
        <v>3.5</v>
      </c>
      <c r="C20" s="29" t="s">
        <v>419</v>
      </c>
      <c r="D20" s="269">
        <v>2</v>
      </c>
      <c r="E20" s="55" t="s">
        <v>417</v>
      </c>
      <c r="F20" s="234">
        <v>9275</v>
      </c>
      <c r="G20" s="235">
        <f t="shared" si="0"/>
        <v>18550</v>
      </c>
      <c r="H20" s="234">
        <v>480</v>
      </c>
      <c r="I20" s="234">
        <f t="shared" si="1"/>
        <v>960</v>
      </c>
      <c r="J20" s="234">
        <f t="shared" si="2"/>
        <v>19510</v>
      </c>
      <c r="K20" s="236"/>
    </row>
    <row r="21" spans="1:13" ht="26.1" customHeight="1" x14ac:dyDescent="0.2">
      <c r="A21" s="25"/>
      <c r="B21" s="55">
        <v>3.6</v>
      </c>
      <c r="C21" s="29" t="s">
        <v>420</v>
      </c>
      <c r="D21" s="269">
        <v>40</v>
      </c>
      <c r="E21" s="55" t="s">
        <v>417</v>
      </c>
      <c r="F21" s="234">
        <v>352</v>
      </c>
      <c r="G21" s="235">
        <f t="shared" si="0"/>
        <v>14080</v>
      </c>
      <c r="H21" s="234">
        <v>90</v>
      </c>
      <c r="I21" s="234">
        <f t="shared" si="1"/>
        <v>3600</v>
      </c>
      <c r="J21" s="234">
        <f t="shared" si="2"/>
        <v>17680</v>
      </c>
      <c r="K21" s="236"/>
    </row>
    <row r="22" spans="1:13" ht="26.1" customHeight="1" x14ac:dyDescent="0.2">
      <c r="A22" s="25"/>
      <c r="B22" s="55">
        <v>3.7</v>
      </c>
      <c r="C22" s="29" t="s">
        <v>421</v>
      </c>
      <c r="D22" s="269">
        <v>40</v>
      </c>
      <c r="E22" s="55" t="s">
        <v>417</v>
      </c>
      <c r="F22" s="234">
        <v>1026</v>
      </c>
      <c r="G22" s="235">
        <f t="shared" si="0"/>
        <v>41040</v>
      </c>
      <c r="H22" s="234">
        <v>100</v>
      </c>
      <c r="I22" s="234">
        <f t="shared" si="1"/>
        <v>4000</v>
      </c>
      <c r="J22" s="234">
        <f t="shared" si="2"/>
        <v>45040</v>
      </c>
      <c r="K22" s="236"/>
    </row>
    <row r="23" spans="1:13" ht="26.1" customHeight="1" x14ac:dyDescent="0.2">
      <c r="A23" s="42"/>
      <c r="B23" s="55">
        <v>3.8</v>
      </c>
      <c r="C23" s="48" t="s">
        <v>342</v>
      </c>
      <c r="D23" s="256">
        <v>10</v>
      </c>
      <c r="E23" s="43" t="s">
        <v>38</v>
      </c>
      <c r="F23" s="240">
        <v>5000</v>
      </c>
      <c r="G23" s="250">
        <f t="shared" si="0"/>
        <v>50000</v>
      </c>
      <c r="H23" s="240">
        <v>0</v>
      </c>
      <c r="I23" s="240">
        <f t="shared" si="1"/>
        <v>0</v>
      </c>
      <c r="J23" s="240">
        <f t="shared" si="2"/>
        <v>50000</v>
      </c>
      <c r="K23" s="254" t="s">
        <v>87</v>
      </c>
    </row>
    <row r="24" spans="1:13" ht="26.1" customHeight="1" x14ac:dyDescent="0.2">
      <c r="A24" s="25"/>
      <c r="B24" s="55">
        <v>3.9</v>
      </c>
      <c r="C24" s="29" t="s">
        <v>422</v>
      </c>
      <c r="D24" s="269">
        <v>1</v>
      </c>
      <c r="E24" s="55" t="s">
        <v>417</v>
      </c>
      <c r="F24" s="234">
        <v>5000</v>
      </c>
      <c r="G24" s="235">
        <f t="shared" si="0"/>
        <v>5000</v>
      </c>
      <c r="H24" s="234">
        <v>1500</v>
      </c>
      <c r="I24" s="234">
        <f t="shared" si="1"/>
        <v>1500</v>
      </c>
      <c r="J24" s="234">
        <f t="shared" si="2"/>
        <v>6500</v>
      </c>
      <c r="K24" s="236"/>
    </row>
    <row r="25" spans="1:13" s="6" customFormat="1" ht="26.1" customHeight="1" thickBot="1" x14ac:dyDescent="0.25">
      <c r="A25" s="443"/>
      <c r="B25" s="602" t="s">
        <v>27</v>
      </c>
      <c r="C25" s="603"/>
      <c r="D25" s="603"/>
      <c r="E25" s="603"/>
      <c r="F25" s="603"/>
      <c r="G25" s="603"/>
      <c r="H25" s="603"/>
      <c r="I25" s="604"/>
      <c r="J25" s="150">
        <f>SUM(J8:J24)</f>
        <v>589130</v>
      </c>
      <c r="K25" s="151"/>
      <c r="L25" s="126"/>
      <c r="M25" s="126"/>
    </row>
    <row r="26" spans="1:13" s="6" customFormat="1" ht="26.1" customHeight="1" x14ac:dyDescent="0.2">
      <c r="A26" s="6" t="str">
        <f>รวมราคา!A1</f>
        <v xml:space="preserve">ประมาณราคาค่าก่อสร้าง </v>
      </c>
      <c r="C26" s="88" t="str">
        <f>รวมราคา!C1</f>
        <v>อาคารที่พักอาศัย (แฟลต) จำนวน 40 ครอบครัว สูง 5 ชั้น (ใต้ถุนโล่ง)</v>
      </c>
      <c r="J26" s="447" t="str">
        <f>รวมราคา!J1</f>
        <v>แบบ ปร.4   แผ่นที่</v>
      </c>
      <c r="K26" s="88">
        <v>13</v>
      </c>
    </row>
    <row r="27" spans="1:13" s="6" customFormat="1" ht="26.1" customHeight="1" x14ac:dyDescent="0.2">
      <c r="A27" s="6" t="str">
        <f>รวมราคา!A2</f>
        <v xml:space="preserve">สถานที่ก่อสร้าง  </v>
      </c>
      <c r="C27" s="447" t="str">
        <f>รวมราคา!C2</f>
        <v>บก.ตชก.ภาค 2 ถ.หลังศูนย์ราชการ ต.ในเมือง อ.เมือง จ.ขอนแก่น</v>
      </c>
      <c r="G27" s="6" t="str">
        <f>รวมราคา!G2</f>
        <v xml:space="preserve">แบบเลขที่ </v>
      </c>
      <c r="H27" s="447" t="str">
        <f>รวมราคา!H2</f>
        <v>ตร.10817/60</v>
      </c>
    </row>
    <row r="28" spans="1:13" s="38" customFormat="1" ht="26.1" customHeight="1" x14ac:dyDescent="0.5">
      <c r="A28" s="6" t="str">
        <f>รวมราคา!A3</f>
        <v xml:space="preserve">ฝ่ายประมาณราคา   </v>
      </c>
      <c r="B28" s="6"/>
      <c r="C28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D28" s="6"/>
      <c r="E28" s="6"/>
      <c r="F28" s="6"/>
      <c r="G28" s="6" t="str">
        <f>รวมราคา!G3</f>
        <v>กำหนดราคากลางเมื่อ</v>
      </c>
      <c r="H28" s="108"/>
      <c r="I28" s="6"/>
      <c r="J28" s="6"/>
      <c r="K28" s="6"/>
    </row>
    <row r="29" spans="1:13" s="38" customFormat="1" ht="26.1" customHeight="1" thickBot="1" x14ac:dyDescent="0.55000000000000004">
      <c r="A29" s="87" t="str">
        <f>รวมราคา!A4</f>
        <v xml:space="preserve">ประมาณราคาโดย  </v>
      </c>
      <c r="B29" s="87"/>
      <c r="C29" s="89"/>
      <c r="D29" s="87"/>
      <c r="E29" s="87"/>
      <c r="F29" s="87"/>
      <c r="G29" s="87"/>
      <c r="H29" s="87"/>
      <c r="I29" s="87"/>
      <c r="J29" s="87"/>
    </row>
    <row r="30" spans="1:13" ht="26.1" customHeight="1" thickBot="1" x14ac:dyDescent="0.25">
      <c r="A30" s="605" t="s">
        <v>3</v>
      </c>
      <c r="B30" s="610" t="s">
        <v>4</v>
      </c>
      <c r="C30" s="607"/>
      <c r="D30" s="612" t="s">
        <v>18</v>
      </c>
      <c r="E30" s="609" t="s">
        <v>19</v>
      </c>
      <c r="F30" s="594" t="s">
        <v>20</v>
      </c>
      <c r="G30" s="597"/>
      <c r="H30" s="594" t="s">
        <v>21</v>
      </c>
      <c r="I30" s="597"/>
      <c r="J30" s="442" t="s">
        <v>22</v>
      </c>
      <c r="K30" s="607" t="s">
        <v>8</v>
      </c>
      <c r="L30" s="6"/>
    </row>
    <row r="31" spans="1:13" ht="26.1" customHeight="1" thickBot="1" x14ac:dyDescent="0.25">
      <c r="A31" s="606"/>
      <c r="B31" s="611"/>
      <c r="C31" s="608"/>
      <c r="D31" s="613"/>
      <c r="E31" s="614"/>
      <c r="F31" s="116" t="s">
        <v>23</v>
      </c>
      <c r="G31" s="444" t="s">
        <v>24</v>
      </c>
      <c r="H31" s="116" t="s">
        <v>23</v>
      </c>
      <c r="I31" s="116" t="s">
        <v>24</v>
      </c>
      <c r="J31" s="443" t="s">
        <v>25</v>
      </c>
      <c r="K31" s="608"/>
      <c r="L31" s="6"/>
    </row>
    <row r="32" spans="1:13" s="6" customFormat="1" ht="26.1" customHeight="1" x14ac:dyDescent="0.2">
      <c r="A32" s="442"/>
      <c r="B32" s="609" t="s">
        <v>28</v>
      </c>
      <c r="C32" s="609"/>
      <c r="D32" s="609"/>
      <c r="E32" s="609"/>
      <c r="F32" s="609"/>
      <c r="G32" s="609"/>
      <c r="H32" s="609"/>
      <c r="I32" s="609"/>
      <c r="J32" s="127">
        <f>J25</f>
        <v>589130</v>
      </c>
      <c r="K32" s="128"/>
    </row>
    <row r="33" spans="1:12" ht="26.1" customHeight="1" x14ac:dyDescent="0.2">
      <c r="A33" s="25"/>
      <c r="B33" s="268">
        <v>3.1</v>
      </c>
      <c r="C33" s="29" t="s">
        <v>466</v>
      </c>
      <c r="D33" s="232">
        <v>4</v>
      </c>
      <c r="E33" s="55" t="s">
        <v>38</v>
      </c>
      <c r="F33" s="234">
        <v>30690</v>
      </c>
      <c r="G33" s="235">
        <f>F33*D33</f>
        <v>122760</v>
      </c>
      <c r="H33" s="234">
        <v>5210</v>
      </c>
      <c r="I33" s="234">
        <f>H33*D33</f>
        <v>20840</v>
      </c>
      <c r="J33" s="234">
        <f>I33+G33</f>
        <v>143600</v>
      </c>
      <c r="K33" s="236"/>
    </row>
    <row r="34" spans="1:12" ht="26.1" customHeight="1" x14ac:dyDescent="0.2">
      <c r="A34" s="25"/>
      <c r="B34" s="55">
        <v>3.11</v>
      </c>
      <c r="C34" s="29" t="s">
        <v>463</v>
      </c>
      <c r="D34" s="270">
        <v>2</v>
      </c>
      <c r="E34" s="55" t="s">
        <v>38</v>
      </c>
      <c r="F34" s="234">
        <f>13400</f>
        <v>13400</v>
      </c>
      <c r="G34" s="235">
        <f>D34*F34</f>
        <v>26800</v>
      </c>
      <c r="H34" s="234">
        <v>3000</v>
      </c>
      <c r="I34" s="234">
        <f>D34*H34</f>
        <v>6000</v>
      </c>
      <c r="J34" s="234">
        <f>G34+I34</f>
        <v>32800</v>
      </c>
      <c r="K34" s="236"/>
    </row>
    <row r="35" spans="1:12" ht="26.1" customHeight="1" x14ac:dyDescent="0.2">
      <c r="A35" s="25"/>
      <c r="B35" s="55"/>
      <c r="C35" s="29" t="s">
        <v>464</v>
      </c>
      <c r="D35" s="25"/>
      <c r="E35" s="55"/>
      <c r="F35" s="234"/>
      <c r="G35" s="235"/>
      <c r="H35" s="234"/>
      <c r="I35" s="234"/>
      <c r="J35" s="234"/>
      <c r="K35" s="236"/>
    </row>
    <row r="36" spans="1:12" ht="26.1" customHeight="1" x14ac:dyDescent="0.2">
      <c r="A36" s="25"/>
      <c r="B36" s="55"/>
      <c r="C36" s="29" t="s">
        <v>465</v>
      </c>
      <c r="D36" s="25"/>
      <c r="E36" s="55"/>
      <c r="F36" s="234"/>
      <c r="G36" s="235"/>
      <c r="H36" s="234"/>
      <c r="I36" s="234"/>
      <c r="J36" s="234"/>
      <c r="K36" s="236"/>
    </row>
    <row r="37" spans="1:12" ht="26.1" customHeight="1" x14ac:dyDescent="0.2">
      <c r="A37" s="25"/>
      <c r="B37" s="55">
        <v>3.12</v>
      </c>
      <c r="C37" s="29" t="s">
        <v>423</v>
      </c>
      <c r="D37" s="270">
        <v>1</v>
      </c>
      <c r="E37" s="55" t="s">
        <v>424</v>
      </c>
      <c r="F37" s="234">
        <v>42000</v>
      </c>
      <c r="G37" s="235">
        <f>D37*F37</f>
        <v>42000</v>
      </c>
      <c r="H37" s="234">
        <v>3600</v>
      </c>
      <c r="I37" s="234">
        <f>D37*H37</f>
        <v>3600</v>
      </c>
      <c r="J37" s="234">
        <f>G37+I37</f>
        <v>45600</v>
      </c>
      <c r="K37" s="236"/>
    </row>
    <row r="38" spans="1:12" ht="26.1" customHeight="1" x14ac:dyDescent="0.2">
      <c r="A38" s="25"/>
      <c r="B38" s="55">
        <v>3.13</v>
      </c>
      <c r="C38" s="29" t="s">
        <v>425</v>
      </c>
      <c r="D38" s="270">
        <v>1</v>
      </c>
      <c r="E38" s="55" t="s">
        <v>38</v>
      </c>
      <c r="F38" s="234">
        <v>6000</v>
      </c>
      <c r="G38" s="235">
        <f>D38*F38</f>
        <v>6000</v>
      </c>
      <c r="H38" s="234">
        <v>1200</v>
      </c>
      <c r="I38" s="234">
        <f>D38*H38</f>
        <v>1200</v>
      </c>
      <c r="J38" s="234">
        <f>G38+I38</f>
        <v>7200</v>
      </c>
      <c r="K38" s="236"/>
    </row>
    <row r="39" spans="1:12" ht="26.1" customHeight="1" x14ac:dyDescent="0.2">
      <c r="A39" s="25"/>
      <c r="B39" s="55">
        <v>3.14</v>
      </c>
      <c r="C39" s="29" t="s">
        <v>441</v>
      </c>
      <c r="D39" s="508">
        <v>160</v>
      </c>
      <c r="E39" s="55" t="s">
        <v>71</v>
      </c>
      <c r="F39" s="234">
        <v>1500</v>
      </c>
      <c r="G39" s="235">
        <f>F39*D39</f>
        <v>240000</v>
      </c>
      <c r="H39" s="234">
        <v>0</v>
      </c>
      <c r="I39" s="234">
        <f>H39*D39</f>
        <v>0</v>
      </c>
      <c r="J39" s="234">
        <f>I39+G39</f>
        <v>240000</v>
      </c>
      <c r="K39" s="57" t="s">
        <v>87</v>
      </c>
      <c r="L39" s="447">
        <f>10*16</f>
        <v>160</v>
      </c>
    </row>
    <row r="40" spans="1:12" ht="26.1" customHeight="1" x14ac:dyDescent="0.2">
      <c r="A40" s="25"/>
      <c r="B40" s="55">
        <v>3.15</v>
      </c>
      <c r="C40" s="29" t="s">
        <v>438</v>
      </c>
      <c r="D40" s="232">
        <v>10</v>
      </c>
      <c r="E40" s="55" t="s">
        <v>66</v>
      </c>
      <c r="F40" s="234">
        <v>500</v>
      </c>
      <c r="G40" s="235">
        <f>F40*D40</f>
        <v>5000</v>
      </c>
      <c r="H40" s="234">
        <v>0</v>
      </c>
      <c r="I40" s="234">
        <f>H40*D40</f>
        <v>0</v>
      </c>
      <c r="J40" s="234">
        <f>I40+G40</f>
        <v>5000</v>
      </c>
      <c r="K40" s="57" t="s">
        <v>87</v>
      </c>
      <c r="L40" s="121"/>
    </row>
    <row r="41" spans="1:12" ht="26.1" customHeight="1" x14ac:dyDescent="0.2">
      <c r="A41" s="64"/>
      <c r="B41" s="65"/>
      <c r="C41" s="32"/>
      <c r="D41" s="509"/>
      <c r="E41" s="65"/>
      <c r="F41" s="238"/>
      <c r="G41" s="239"/>
      <c r="H41" s="238"/>
      <c r="I41" s="238"/>
      <c r="J41" s="238"/>
      <c r="K41" s="68"/>
      <c r="L41" s="121"/>
    </row>
    <row r="42" spans="1:12" ht="26.1" customHeight="1" x14ac:dyDescent="0.2">
      <c r="A42" s="64"/>
      <c r="B42" s="65"/>
      <c r="C42" s="32"/>
      <c r="D42" s="509"/>
      <c r="E42" s="65"/>
      <c r="F42" s="238"/>
      <c r="G42" s="239"/>
      <c r="H42" s="238"/>
      <c r="I42" s="238"/>
      <c r="J42" s="238"/>
      <c r="K42" s="68"/>
      <c r="L42" s="121"/>
    </row>
    <row r="43" spans="1:12" ht="26.1" customHeight="1" x14ac:dyDescent="0.2">
      <c r="A43" s="64"/>
      <c r="B43" s="65"/>
      <c r="C43" s="32"/>
      <c r="D43" s="509"/>
      <c r="E43" s="65"/>
      <c r="F43" s="238"/>
      <c r="G43" s="239"/>
      <c r="H43" s="238"/>
      <c r="I43" s="238"/>
      <c r="J43" s="238"/>
      <c r="K43" s="68"/>
      <c r="L43" s="121"/>
    </row>
    <row r="44" spans="1:12" ht="26.1" customHeight="1" x14ac:dyDescent="0.2">
      <c r="A44" s="64"/>
      <c r="B44" s="65"/>
      <c r="C44" s="32"/>
      <c r="D44" s="509"/>
      <c r="E44" s="65"/>
      <c r="F44" s="238"/>
      <c r="G44" s="239"/>
      <c r="H44" s="238"/>
      <c r="I44" s="238"/>
      <c r="J44" s="238"/>
      <c r="K44" s="68"/>
      <c r="L44" s="121"/>
    </row>
    <row r="45" spans="1:12" ht="26.1" customHeight="1" x14ac:dyDescent="0.2">
      <c r="A45" s="64"/>
      <c r="B45" s="65"/>
      <c r="C45" s="32"/>
      <c r="D45" s="509"/>
      <c r="E45" s="65"/>
      <c r="F45" s="238"/>
      <c r="G45" s="239"/>
      <c r="H45" s="238"/>
      <c r="I45" s="238"/>
      <c r="J45" s="238"/>
      <c r="K45" s="68"/>
      <c r="L45" s="121"/>
    </row>
    <row r="46" spans="1:12" ht="26.1" customHeight="1" x14ac:dyDescent="0.2">
      <c r="A46" s="64"/>
      <c r="B46" s="65"/>
      <c r="C46" s="32"/>
      <c r="D46" s="509"/>
      <c r="E46" s="65"/>
      <c r="F46" s="238"/>
      <c r="G46" s="239"/>
      <c r="H46" s="238"/>
      <c r="I46" s="238"/>
      <c r="J46" s="238"/>
      <c r="K46" s="68"/>
      <c r="L46" s="121"/>
    </row>
    <row r="47" spans="1:12" ht="26.1" customHeight="1" x14ac:dyDescent="0.2">
      <c r="A47" s="64"/>
      <c r="B47" s="65"/>
      <c r="C47" s="32"/>
      <c r="D47" s="509"/>
      <c r="E47" s="65"/>
      <c r="F47" s="238"/>
      <c r="G47" s="239"/>
      <c r="H47" s="238"/>
      <c r="I47" s="238"/>
      <c r="J47" s="238"/>
      <c r="K47" s="68"/>
      <c r="L47" s="121"/>
    </row>
    <row r="48" spans="1:12" ht="26.1" customHeight="1" thickBot="1" x14ac:dyDescent="0.25">
      <c r="A48" s="64"/>
      <c r="B48" s="65"/>
      <c r="C48" s="32"/>
      <c r="D48" s="64"/>
      <c r="E48" s="65"/>
      <c r="F48" s="66"/>
      <c r="G48" s="67"/>
      <c r="H48" s="66"/>
      <c r="I48" s="66"/>
      <c r="J48" s="66"/>
      <c r="K48" s="68"/>
    </row>
    <row r="49" spans="1:11" s="6" customFormat="1" ht="26.1" customHeight="1" thickBot="1" x14ac:dyDescent="0.25">
      <c r="A49" s="438"/>
      <c r="B49" s="601" t="s">
        <v>270</v>
      </c>
      <c r="C49" s="600"/>
      <c r="D49" s="600"/>
      <c r="E49" s="600"/>
      <c r="F49" s="600"/>
      <c r="G49" s="600"/>
      <c r="H49" s="600"/>
      <c r="I49" s="540"/>
      <c r="J49" s="62">
        <f>SUM(J32:J48)</f>
        <v>1063330</v>
      </c>
      <c r="K49" s="77"/>
    </row>
  </sheetData>
  <mergeCells count="17">
    <mergeCell ref="K5:K6"/>
    <mergeCell ref="A5:A6"/>
    <mergeCell ref="B5:C6"/>
    <mergeCell ref="D5:D6"/>
    <mergeCell ref="E5:E6"/>
    <mergeCell ref="F5:G5"/>
    <mergeCell ref="H5:I5"/>
    <mergeCell ref="H30:I30"/>
    <mergeCell ref="B49:I49"/>
    <mergeCell ref="B25:I25"/>
    <mergeCell ref="A30:A31"/>
    <mergeCell ref="K30:K31"/>
    <mergeCell ref="B32:I32"/>
    <mergeCell ref="B30:C31"/>
    <mergeCell ref="D30:D31"/>
    <mergeCell ref="E30:E31"/>
    <mergeCell ref="F30:G30"/>
  </mergeCells>
  <phoneticPr fontId="0" type="noConversion"/>
  <printOptions horizontalCentered="1" verticalCentered="1"/>
  <pageMargins left="0.47244094488188981" right="0.47244094488188981" top="0.39370078740157483" bottom="0.27559055118110237" header="0.51181102362204722" footer="0.51181102362204722"/>
  <pageSetup paperSize="9" scale="70" firstPageNumber="0" orientation="landscape" r:id="rId1"/>
  <headerFooter alignWithMargins="0"/>
  <rowBreaks count="1" manualBreakCount="1">
    <brk id="2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E7C9-51FB-4CBB-B98C-8EA5D5458B05}">
  <dimension ref="A1:Q50"/>
  <sheetViews>
    <sheetView view="pageBreakPreview" topLeftCell="A25" zoomScale="70" zoomScaleSheetLayoutView="70" workbookViewId="0">
      <selection activeCell="A29" sqref="A29"/>
    </sheetView>
  </sheetViews>
  <sheetFormatPr defaultColWidth="9.140625" defaultRowHeight="26.1" customHeight="1" x14ac:dyDescent="0.2"/>
  <cols>
    <col min="1" max="2" width="10.7109375" style="447" customWidth="1"/>
    <col min="3" max="3" width="60.7109375" style="447" customWidth="1"/>
    <col min="4" max="4" width="12.7109375" style="447" customWidth="1"/>
    <col min="5" max="5" width="10.7109375" style="447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3.7109375" style="447" customWidth="1"/>
    <col min="12" max="16384" width="9.140625" style="447"/>
  </cols>
  <sheetData>
    <row r="1" spans="1:17" s="6" customFormat="1" ht="26.1" customHeight="1" x14ac:dyDescent="0.2">
      <c r="A1" s="6" t="s">
        <v>126</v>
      </c>
      <c r="C1" s="447" t="str">
        <f>รวมราคา!C1</f>
        <v>อาคารที่พักอาศัย (แฟลต) จำนวน 40 ครอบครัว สูง 5 ชั้น (ใต้ถุนโล่ง)</v>
      </c>
      <c r="J1" s="437" t="s">
        <v>157</v>
      </c>
      <c r="K1" s="88">
        <v>14</v>
      </c>
    </row>
    <row r="2" spans="1:17" s="6" customFormat="1" ht="26.1" customHeight="1" x14ac:dyDescent="0.2">
      <c r="A2" s="6" t="s">
        <v>17</v>
      </c>
      <c r="C2" s="447" t="s">
        <v>557</v>
      </c>
      <c r="G2" s="6" t="s">
        <v>127</v>
      </c>
      <c r="H2" s="447" t="str">
        <f>รวมราคา!H2</f>
        <v>ตร.10817/60</v>
      </c>
      <c r="I2" s="447"/>
    </row>
    <row r="3" spans="1:17" s="38" customFormat="1" ht="26.1" customHeight="1" x14ac:dyDescent="0.5">
      <c r="A3" s="6" t="s">
        <v>0</v>
      </c>
      <c r="B3" s="6"/>
      <c r="C3" s="88" t="s">
        <v>570</v>
      </c>
      <c r="D3" s="6"/>
      <c r="E3" s="6"/>
      <c r="F3" s="6"/>
      <c r="G3" s="6" t="s">
        <v>551</v>
      </c>
      <c r="H3" s="109"/>
      <c r="I3" s="6"/>
      <c r="J3" s="6"/>
      <c r="K3" s="6"/>
    </row>
    <row r="4" spans="1:17" s="38" customFormat="1" ht="26.1" customHeight="1" thickBot="1" x14ac:dyDescent="0.55000000000000004">
      <c r="A4" s="87" t="s">
        <v>125</v>
      </c>
      <c r="B4" s="87"/>
      <c r="C4" s="89" t="s">
        <v>552</v>
      </c>
      <c r="D4" s="87"/>
      <c r="E4" s="87"/>
      <c r="F4" s="87"/>
      <c r="G4" s="87"/>
      <c r="H4" s="87"/>
      <c r="I4" s="87"/>
      <c r="J4" s="87"/>
    </row>
    <row r="5" spans="1:17" s="6" customFormat="1" ht="26.1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7" s="6" customFormat="1" ht="26.1" customHeight="1" x14ac:dyDescent="0.2">
      <c r="A6" s="522"/>
      <c r="B6" s="522"/>
      <c r="C6" s="522"/>
      <c r="D6" s="522"/>
      <c r="E6" s="600"/>
      <c r="F6" s="441" t="s">
        <v>23</v>
      </c>
      <c r="G6" s="40" t="s">
        <v>24</v>
      </c>
      <c r="H6" s="441" t="s">
        <v>23</v>
      </c>
      <c r="I6" s="441" t="s">
        <v>24</v>
      </c>
      <c r="J6" s="41" t="s">
        <v>25</v>
      </c>
      <c r="K6" s="540"/>
    </row>
    <row r="7" spans="1:17" s="6" customFormat="1" ht="26.1" customHeight="1" x14ac:dyDescent="0.2">
      <c r="A7" s="440">
        <v>4</v>
      </c>
      <c r="B7" s="17" t="s">
        <v>271</v>
      </c>
      <c r="C7" s="17"/>
      <c r="D7" s="440"/>
      <c r="E7" s="226"/>
      <c r="F7" s="243"/>
      <c r="G7" s="244"/>
      <c r="H7" s="243"/>
      <c r="I7" s="243"/>
      <c r="J7" s="243"/>
      <c r="K7" s="245"/>
    </row>
    <row r="8" spans="1:17" ht="26.1" customHeight="1" x14ac:dyDescent="0.5">
      <c r="A8" s="42"/>
      <c r="B8" s="43">
        <v>4.0999999999999996</v>
      </c>
      <c r="C8" s="48" t="s">
        <v>272</v>
      </c>
      <c r="D8" s="231">
        <v>1</v>
      </c>
      <c r="E8" s="43" t="s">
        <v>38</v>
      </c>
      <c r="F8" s="240">
        <v>60000</v>
      </c>
      <c r="G8" s="235">
        <f>D8*F8</f>
        <v>60000</v>
      </c>
      <c r="H8" s="240">
        <v>10000</v>
      </c>
      <c r="I8" s="240">
        <f>D8*H8</f>
        <v>10000</v>
      </c>
      <c r="J8" s="240">
        <f>G8+I8</f>
        <v>70000</v>
      </c>
      <c r="K8" s="510"/>
    </row>
    <row r="9" spans="1:17" ht="26.1" customHeight="1" x14ac:dyDescent="0.2">
      <c r="A9" s="25"/>
      <c r="B9" s="55">
        <v>4.2</v>
      </c>
      <c r="C9" s="29" t="s">
        <v>273</v>
      </c>
      <c r="D9" s="233"/>
      <c r="E9" s="43"/>
      <c r="F9" s="234"/>
      <c r="G9" s="235"/>
      <c r="H9" s="234"/>
      <c r="I9" s="234"/>
      <c r="J9" s="234"/>
      <c r="K9" s="236"/>
    </row>
    <row r="10" spans="1:17" ht="26.1" customHeight="1" x14ac:dyDescent="0.2">
      <c r="A10" s="25"/>
      <c r="B10" s="55" t="s">
        <v>159</v>
      </c>
      <c r="C10" s="29" t="s">
        <v>428</v>
      </c>
      <c r="D10" s="233">
        <v>4</v>
      </c>
      <c r="E10" s="43" t="s">
        <v>38</v>
      </c>
      <c r="F10" s="234">
        <v>13350</v>
      </c>
      <c r="G10" s="235">
        <f>D10*F10</f>
        <v>53400</v>
      </c>
      <c r="H10" s="234">
        <v>1000</v>
      </c>
      <c r="I10" s="234">
        <f>D10*H10</f>
        <v>4000</v>
      </c>
      <c r="J10" s="234">
        <f>G10+I10</f>
        <v>57400</v>
      </c>
      <c r="K10" s="236"/>
    </row>
    <row r="11" spans="1:17" ht="26.1" customHeight="1" x14ac:dyDescent="0.2">
      <c r="A11" s="25"/>
      <c r="B11" s="55" t="s">
        <v>159</v>
      </c>
      <c r="C11" s="29" t="s">
        <v>426</v>
      </c>
      <c r="D11" s="233">
        <v>1</v>
      </c>
      <c r="E11" s="43" t="s">
        <v>38</v>
      </c>
      <c r="F11" s="234">
        <v>8150</v>
      </c>
      <c r="G11" s="235">
        <f>D11*F11</f>
        <v>8150</v>
      </c>
      <c r="H11" s="234">
        <v>1500</v>
      </c>
      <c r="I11" s="234">
        <f>D11*H11</f>
        <v>1500</v>
      </c>
      <c r="J11" s="234">
        <f>G11+I11</f>
        <v>9650</v>
      </c>
      <c r="K11" s="236"/>
    </row>
    <row r="12" spans="1:17" ht="26.1" customHeight="1" x14ac:dyDescent="0.2">
      <c r="A12" s="25"/>
      <c r="B12" s="55" t="s">
        <v>159</v>
      </c>
      <c r="C12" s="29" t="s">
        <v>427</v>
      </c>
      <c r="D12" s="233">
        <v>1</v>
      </c>
      <c r="E12" s="43" t="s">
        <v>38</v>
      </c>
      <c r="F12" s="234">
        <v>8150</v>
      </c>
      <c r="G12" s="235">
        <f>D12*F12</f>
        <v>8150</v>
      </c>
      <c r="H12" s="234">
        <v>1500</v>
      </c>
      <c r="I12" s="234">
        <f>D12*H12</f>
        <v>1500</v>
      </c>
      <c r="J12" s="234">
        <f>G12+I12</f>
        <v>9650</v>
      </c>
      <c r="K12" s="236"/>
    </row>
    <row r="13" spans="1:17" ht="26.1" customHeight="1" x14ac:dyDescent="0.2">
      <c r="A13" s="25"/>
      <c r="B13" s="55">
        <v>4.3</v>
      </c>
      <c r="C13" s="29" t="s">
        <v>429</v>
      </c>
      <c r="D13" s="233">
        <v>40</v>
      </c>
      <c r="E13" s="43" t="s">
        <v>38</v>
      </c>
      <c r="F13" s="234">
        <v>3500</v>
      </c>
      <c r="G13" s="235">
        <f>D13*F13</f>
        <v>140000</v>
      </c>
      <c r="H13" s="234">
        <v>400</v>
      </c>
      <c r="I13" s="234">
        <f>D13*H13</f>
        <v>16000</v>
      </c>
      <c r="J13" s="234">
        <f>G13+I13</f>
        <v>156000</v>
      </c>
      <c r="K13" s="236"/>
    </row>
    <row r="14" spans="1:17" ht="26.1" customHeight="1" x14ac:dyDescent="0.2">
      <c r="A14" s="25"/>
      <c r="B14" s="65">
        <v>4.4000000000000004</v>
      </c>
      <c r="C14" s="29" t="s">
        <v>437</v>
      </c>
      <c r="D14" s="233">
        <v>1</v>
      </c>
      <c r="E14" s="43" t="s">
        <v>274</v>
      </c>
      <c r="F14" s="234">
        <f>400000/5*4</f>
        <v>320000</v>
      </c>
      <c r="G14" s="235">
        <f t="shared" ref="G14:G25" si="0">D14*F14</f>
        <v>320000</v>
      </c>
      <c r="H14" s="234">
        <v>0</v>
      </c>
      <c r="I14" s="234">
        <f t="shared" ref="I14:I25" si="1">D14*H14</f>
        <v>0</v>
      </c>
      <c r="J14" s="234">
        <f t="shared" ref="J14:J25" si="2">G14+I14</f>
        <v>320000</v>
      </c>
      <c r="K14" s="236" t="s">
        <v>87</v>
      </c>
      <c r="L14" s="447">
        <f>21*50</f>
        <v>1050</v>
      </c>
      <c r="M14" s="447">
        <f>52*5</f>
        <v>260</v>
      </c>
      <c r="N14" s="447">
        <f>11*5</f>
        <v>55</v>
      </c>
      <c r="O14" s="447">
        <f>L14+M14+N14</f>
        <v>1365</v>
      </c>
      <c r="P14" s="447">
        <f>O14*3</f>
        <v>4095</v>
      </c>
      <c r="Q14" s="447">
        <f>P14*100</f>
        <v>409500</v>
      </c>
    </row>
    <row r="15" spans="1:17" ht="26.1" customHeight="1" x14ac:dyDescent="0.2">
      <c r="A15" s="25"/>
      <c r="B15" s="55">
        <v>4.5</v>
      </c>
      <c r="C15" s="29" t="s">
        <v>435</v>
      </c>
      <c r="D15" s="233">
        <v>4</v>
      </c>
      <c r="E15" s="43" t="s">
        <v>38</v>
      </c>
      <c r="F15" s="234">
        <v>8000</v>
      </c>
      <c r="G15" s="235">
        <f>D15*F15</f>
        <v>32000</v>
      </c>
      <c r="H15" s="234">
        <v>600</v>
      </c>
      <c r="I15" s="234">
        <f>D15*H15</f>
        <v>2400</v>
      </c>
      <c r="J15" s="234">
        <f>G15+I15</f>
        <v>34400</v>
      </c>
      <c r="K15" s="236"/>
    </row>
    <row r="16" spans="1:17" ht="26.1" customHeight="1" x14ac:dyDescent="0.2">
      <c r="A16" s="25"/>
      <c r="B16" s="65">
        <v>4.5999999999999996</v>
      </c>
      <c r="C16" s="32" t="s">
        <v>275</v>
      </c>
      <c r="D16" s="233"/>
      <c r="E16" s="43"/>
      <c r="F16" s="234"/>
      <c r="G16" s="235"/>
      <c r="H16" s="234"/>
      <c r="I16" s="234"/>
      <c r="J16" s="234"/>
      <c r="K16" s="236"/>
    </row>
    <row r="17" spans="1:13" ht="26.1" customHeight="1" x14ac:dyDescent="0.2">
      <c r="A17" s="25"/>
      <c r="B17" s="55" t="s">
        <v>159</v>
      </c>
      <c r="C17" s="29" t="s">
        <v>430</v>
      </c>
      <c r="D17" s="233">
        <f>41*4</f>
        <v>164</v>
      </c>
      <c r="E17" s="43" t="s">
        <v>38</v>
      </c>
      <c r="F17" s="234">
        <v>520</v>
      </c>
      <c r="G17" s="235">
        <f t="shared" si="0"/>
        <v>85280</v>
      </c>
      <c r="H17" s="234">
        <v>115</v>
      </c>
      <c r="I17" s="234">
        <f t="shared" si="1"/>
        <v>18860</v>
      </c>
      <c r="J17" s="234">
        <f t="shared" si="2"/>
        <v>104140</v>
      </c>
      <c r="K17" s="236"/>
    </row>
    <row r="18" spans="1:13" ht="26.1" customHeight="1" x14ac:dyDescent="0.2">
      <c r="A18" s="25"/>
      <c r="B18" s="55" t="s">
        <v>159</v>
      </c>
      <c r="C18" s="29" t="s">
        <v>431</v>
      </c>
      <c r="D18" s="233">
        <f>20*4+18</f>
        <v>98</v>
      </c>
      <c r="E18" s="43" t="s">
        <v>38</v>
      </c>
      <c r="F18" s="234">
        <v>590</v>
      </c>
      <c r="G18" s="235">
        <f t="shared" si="0"/>
        <v>57820</v>
      </c>
      <c r="H18" s="234">
        <v>115</v>
      </c>
      <c r="I18" s="234">
        <f t="shared" si="1"/>
        <v>11270</v>
      </c>
      <c r="J18" s="234">
        <f t="shared" si="2"/>
        <v>69090</v>
      </c>
      <c r="K18" s="236"/>
    </row>
    <row r="19" spans="1:13" ht="26.1" customHeight="1" x14ac:dyDescent="0.2">
      <c r="A19" s="25"/>
      <c r="B19" s="55" t="s">
        <v>159</v>
      </c>
      <c r="C19" s="29" t="s">
        <v>432</v>
      </c>
      <c r="D19" s="233">
        <f>2*5</f>
        <v>10</v>
      </c>
      <c r="E19" s="43" t="s">
        <v>38</v>
      </c>
      <c r="F19" s="234">
        <v>3500</v>
      </c>
      <c r="G19" s="235">
        <f t="shared" si="0"/>
        <v>35000</v>
      </c>
      <c r="H19" s="234">
        <v>135</v>
      </c>
      <c r="I19" s="234">
        <f t="shared" si="1"/>
        <v>1350</v>
      </c>
      <c r="J19" s="234">
        <f t="shared" si="2"/>
        <v>36350</v>
      </c>
      <c r="K19" s="236"/>
    </row>
    <row r="20" spans="1:13" ht="26.1" customHeight="1" x14ac:dyDescent="0.2">
      <c r="A20" s="25"/>
      <c r="B20" s="65" t="s">
        <v>159</v>
      </c>
      <c r="C20" s="32" t="s">
        <v>433</v>
      </c>
      <c r="D20" s="233">
        <f>2*5</f>
        <v>10</v>
      </c>
      <c r="E20" s="55" t="s">
        <v>38</v>
      </c>
      <c r="F20" s="234">
        <v>750</v>
      </c>
      <c r="G20" s="235">
        <f>D20*F20</f>
        <v>7500</v>
      </c>
      <c r="H20" s="234">
        <v>310</v>
      </c>
      <c r="I20" s="234">
        <f>D20*H20</f>
        <v>3100</v>
      </c>
      <c r="J20" s="234">
        <f>G20+I20</f>
        <v>10600</v>
      </c>
      <c r="K20" s="236"/>
    </row>
    <row r="21" spans="1:13" ht="26.1" customHeight="1" x14ac:dyDescent="0.2">
      <c r="A21" s="25"/>
      <c r="B21" s="55" t="s">
        <v>159</v>
      </c>
      <c r="C21" s="29" t="s">
        <v>276</v>
      </c>
      <c r="D21" s="233">
        <f>SUM(D17:D20)</f>
        <v>282</v>
      </c>
      <c r="E21" s="43" t="s">
        <v>38</v>
      </c>
      <c r="F21" s="234">
        <v>145</v>
      </c>
      <c r="G21" s="235">
        <f>D21*F21</f>
        <v>40890</v>
      </c>
      <c r="H21" s="234">
        <v>80</v>
      </c>
      <c r="I21" s="234">
        <f>D21*H21</f>
        <v>22560</v>
      </c>
      <c r="J21" s="234">
        <f>G21+I21</f>
        <v>63450</v>
      </c>
      <c r="K21" s="236"/>
    </row>
    <row r="22" spans="1:13" ht="26.1" customHeight="1" x14ac:dyDescent="0.2">
      <c r="A22" s="25"/>
      <c r="B22" s="55">
        <v>4.7</v>
      </c>
      <c r="C22" s="29" t="s">
        <v>277</v>
      </c>
      <c r="D22" s="233"/>
      <c r="E22" s="43"/>
      <c r="F22" s="234"/>
      <c r="G22" s="235"/>
      <c r="H22" s="234"/>
      <c r="I22" s="234"/>
      <c r="J22" s="234"/>
      <c r="K22" s="236"/>
    </row>
    <row r="23" spans="1:13" ht="26.1" customHeight="1" x14ac:dyDescent="0.2">
      <c r="A23" s="25"/>
      <c r="B23" s="65" t="s">
        <v>159</v>
      </c>
      <c r="C23" s="32" t="s">
        <v>278</v>
      </c>
      <c r="D23" s="233">
        <f>18+(60*4)</f>
        <v>258</v>
      </c>
      <c r="E23" s="43" t="s">
        <v>38</v>
      </c>
      <c r="F23" s="234">
        <v>52</v>
      </c>
      <c r="G23" s="235">
        <f t="shared" si="0"/>
        <v>13416</v>
      </c>
      <c r="H23" s="234">
        <v>80</v>
      </c>
      <c r="I23" s="234">
        <f t="shared" si="1"/>
        <v>20640</v>
      </c>
      <c r="J23" s="234">
        <f t="shared" si="2"/>
        <v>34056</v>
      </c>
      <c r="K23" s="236"/>
    </row>
    <row r="24" spans="1:13" ht="26.1" customHeight="1" x14ac:dyDescent="0.2">
      <c r="A24" s="25"/>
      <c r="B24" s="65" t="s">
        <v>159</v>
      </c>
      <c r="C24" s="32" t="s">
        <v>279</v>
      </c>
      <c r="D24" s="233">
        <v>0</v>
      </c>
      <c r="E24" s="43" t="s">
        <v>38</v>
      </c>
      <c r="F24" s="234">
        <v>80</v>
      </c>
      <c r="G24" s="235">
        <f t="shared" si="0"/>
        <v>0</v>
      </c>
      <c r="H24" s="234">
        <v>85</v>
      </c>
      <c r="I24" s="234">
        <f t="shared" si="1"/>
        <v>0</v>
      </c>
      <c r="J24" s="234">
        <f t="shared" si="2"/>
        <v>0</v>
      </c>
      <c r="K24" s="236"/>
    </row>
    <row r="25" spans="1:13" ht="26.1" customHeight="1" x14ac:dyDescent="0.2">
      <c r="A25" s="25"/>
      <c r="B25" s="65" t="s">
        <v>159</v>
      </c>
      <c r="C25" s="29" t="s">
        <v>280</v>
      </c>
      <c r="D25" s="233">
        <f>SUM(D23:D24)</f>
        <v>258</v>
      </c>
      <c r="E25" s="43" t="s">
        <v>38</v>
      </c>
      <c r="F25" s="234">
        <v>145</v>
      </c>
      <c r="G25" s="235">
        <f t="shared" si="0"/>
        <v>37410</v>
      </c>
      <c r="H25" s="234">
        <v>80</v>
      </c>
      <c r="I25" s="234">
        <f t="shared" si="1"/>
        <v>20640</v>
      </c>
      <c r="J25" s="234">
        <f t="shared" si="2"/>
        <v>58050</v>
      </c>
      <c r="K25" s="236"/>
    </row>
    <row r="26" spans="1:13" s="6" customFormat="1" ht="26.1" customHeight="1" thickBot="1" x14ac:dyDescent="0.25">
      <c r="A26" s="443"/>
      <c r="B26" s="602" t="s">
        <v>27</v>
      </c>
      <c r="C26" s="603"/>
      <c r="D26" s="603"/>
      <c r="E26" s="603"/>
      <c r="F26" s="603"/>
      <c r="G26" s="603"/>
      <c r="H26" s="603"/>
      <c r="I26" s="604"/>
      <c r="J26" s="150">
        <f>SUM(J7:J25)</f>
        <v>1032836</v>
      </c>
      <c r="K26" s="151"/>
      <c r="L26" s="126"/>
      <c r="M26" s="126"/>
    </row>
    <row r="27" spans="1:13" s="6" customFormat="1" ht="26.1" customHeight="1" x14ac:dyDescent="0.2">
      <c r="A27" s="6" t="str">
        <f>รวมราคา!A1</f>
        <v xml:space="preserve">ประมาณราคาค่าก่อสร้าง </v>
      </c>
      <c r="C27" s="88" t="str">
        <f>รวมราคา!C1</f>
        <v>อาคารที่พักอาศัย (แฟลต) จำนวน 40 ครอบครัว สูง 5 ชั้น (ใต้ถุนโล่ง)</v>
      </c>
      <c r="J27" s="447" t="str">
        <f>รวมราคา!J1</f>
        <v>แบบ ปร.4   แผ่นที่</v>
      </c>
      <c r="K27" s="88">
        <v>15</v>
      </c>
    </row>
    <row r="28" spans="1:13" s="6" customFormat="1" ht="26.1" customHeight="1" x14ac:dyDescent="0.2">
      <c r="A28" s="6" t="str">
        <f>รวมราคา!A2</f>
        <v xml:space="preserve">สถานที่ก่อสร้าง  </v>
      </c>
      <c r="C28" s="447" t="str">
        <f>รวมราคา!C2</f>
        <v>บก.ตชก.ภาค 2 ถ.หลังศูนย์ราชการ ต.ในเมือง อ.เมือง จ.ขอนแก่น</v>
      </c>
      <c r="G28" s="6" t="str">
        <f>รวมราคา!G2</f>
        <v xml:space="preserve">แบบเลขที่ </v>
      </c>
      <c r="H28" s="447" t="str">
        <f>รวมราคา!H2</f>
        <v>ตร.10817/60</v>
      </c>
    </row>
    <row r="29" spans="1:13" s="38" customFormat="1" ht="26.1" customHeight="1" x14ac:dyDescent="0.5">
      <c r="A29" s="6" t="str">
        <f>รวมราคา!A3</f>
        <v xml:space="preserve">ฝ่ายประมาณราคา   </v>
      </c>
      <c r="B29" s="6"/>
      <c r="C29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D29" s="6"/>
      <c r="E29" s="6"/>
      <c r="F29" s="6"/>
      <c r="G29" s="6" t="str">
        <f>รวมราคา!G3</f>
        <v>กำหนดราคากลางเมื่อ</v>
      </c>
      <c r="H29" s="108"/>
      <c r="I29" s="6"/>
      <c r="J29" s="6"/>
      <c r="K29" s="6"/>
    </row>
    <row r="30" spans="1:13" s="38" customFormat="1" ht="26.1" customHeight="1" thickBot="1" x14ac:dyDescent="0.55000000000000004">
      <c r="A30" s="87" t="str">
        <f>รวมราคา!A4</f>
        <v xml:space="preserve">ประมาณราคาโดย  </v>
      </c>
      <c r="B30" s="87"/>
      <c r="C30" s="89"/>
      <c r="D30" s="87"/>
      <c r="E30" s="87"/>
      <c r="F30" s="87"/>
      <c r="G30" s="87"/>
      <c r="H30" s="87"/>
      <c r="I30" s="87"/>
      <c r="J30" s="87"/>
    </row>
    <row r="31" spans="1:13" ht="26.1" customHeight="1" thickBot="1" x14ac:dyDescent="0.25">
      <c r="A31" s="605" t="s">
        <v>3</v>
      </c>
      <c r="B31" s="610" t="s">
        <v>4</v>
      </c>
      <c r="C31" s="607"/>
      <c r="D31" s="612" t="s">
        <v>18</v>
      </c>
      <c r="E31" s="609" t="s">
        <v>19</v>
      </c>
      <c r="F31" s="594" t="s">
        <v>20</v>
      </c>
      <c r="G31" s="597"/>
      <c r="H31" s="594" t="s">
        <v>21</v>
      </c>
      <c r="I31" s="597"/>
      <c r="J31" s="442" t="s">
        <v>22</v>
      </c>
      <c r="K31" s="607" t="s">
        <v>8</v>
      </c>
      <c r="L31" s="6"/>
    </row>
    <row r="32" spans="1:13" ht="26.1" customHeight="1" thickBot="1" x14ac:dyDescent="0.25">
      <c r="A32" s="606"/>
      <c r="B32" s="611"/>
      <c r="C32" s="608"/>
      <c r="D32" s="613"/>
      <c r="E32" s="614"/>
      <c r="F32" s="116" t="s">
        <v>23</v>
      </c>
      <c r="G32" s="444" t="s">
        <v>24</v>
      </c>
      <c r="H32" s="116" t="s">
        <v>23</v>
      </c>
      <c r="I32" s="116" t="s">
        <v>24</v>
      </c>
      <c r="J32" s="443" t="s">
        <v>25</v>
      </c>
      <c r="K32" s="608"/>
      <c r="L32" s="6"/>
    </row>
    <row r="33" spans="1:11" s="6" customFormat="1" ht="26.1" customHeight="1" x14ac:dyDescent="0.2">
      <c r="A33" s="442"/>
      <c r="B33" s="609" t="s">
        <v>28</v>
      </c>
      <c r="C33" s="609"/>
      <c r="D33" s="609"/>
      <c r="E33" s="609"/>
      <c r="F33" s="609"/>
      <c r="G33" s="609"/>
      <c r="H33" s="609"/>
      <c r="I33" s="609"/>
      <c r="J33" s="127">
        <f>J26</f>
        <v>1032836</v>
      </c>
      <c r="K33" s="128"/>
    </row>
    <row r="34" spans="1:11" ht="26.1" customHeight="1" x14ac:dyDescent="0.2">
      <c r="A34" s="25"/>
      <c r="B34" s="241">
        <v>4.8</v>
      </c>
      <c r="C34" s="32" t="s">
        <v>281</v>
      </c>
      <c r="D34" s="233"/>
      <c r="E34" s="242"/>
      <c r="F34" s="234"/>
      <c r="G34" s="235"/>
      <c r="H34" s="234"/>
      <c r="I34" s="234"/>
      <c r="J34" s="234"/>
      <c r="K34" s="236"/>
    </row>
    <row r="35" spans="1:11" ht="26.1" customHeight="1" x14ac:dyDescent="0.2">
      <c r="A35" s="25"/>
      <c r="B35" s="55" t="s">
        <v>159</v>
      </c>
      <c r="C35" s="29" t="s">
        <v>282</v>
      </c>
      <c r="D35" s="233">
        <f>60*4+2</f>
        <v>242</v>
      </c>
      <c r="E35" s="43" t="s">
        <v>38</v>
      </c>
      <c r="F35" s="234">
        <v>80</v>
      </c>
      <c r="G35" s="235">
        <f>D35*F35</f>
        <v>19360</v>
      </c>
      <c r="H35" s="234">
        <v>90</v>
      </c>
      <c r="I35" s="234">
        <f>D35*H35</f>
        <v>21780</v>
      </c>
      <c r="J35" s="234">
        <f>G35+I35</f>
        <v>41140</v>
      </c>
      <c r="K35" s="236"/>
    </row>
    <row r="36" spans="1:11" ht="26.1" customHeight="1" x14ac:dyDescent="0.2">
      <c r="A36" s="25"/>
      <c r="B36" s="55" t="s">
        <v>159</v>
      </c>
      <c r="C36" s="29" t="s">
        <v>283</v>
      </c>
      <c r="D36" s="233">
        <f>2*5</f>
        <v>10</v>
      </c>
      <c r="E36" s="43" t="s">
        <v>38</v>
      </c>
      <c r="F36" s="234">
        <v>130</v>
      </c>
      <c r="G36" s="235">
        <f>D36*F36</f>
        <v>1300</v>
      </c>
      <c r="H36" s="234">
        <v>90</v>
      </c>
      <c r="I36" s="234">
        <f>D36*H36</f>
        <v>900</v>
      </c>
      <c r="J36" s="234">
        <f>G36+I36</f>
        <v>2200</v>
      </c>
      <c r="K36" s="236"/>
    </row>
    <row r="37" spans="1:11" ht="26.1" customHeight="1" x14ac:dyDescent="0.2">
      <c r="A37" s="25"/>
      <c r="B37" s="55" t="s">
        <v>159</v>
      </c>
      <c r="C37" s="29" t="s">
        <v>284</v>
      </c>
      <c r="D37" s="233">
        <f>SUM(D35:D36)</f>
        <v>252</v>
      </c>
      <c r="E37" s="43" t="s">
        <v>38</v>
      </c>
      <c r="F37" s="234">
        <v>430</v>
      </c>
      <c r="G37" s="235">
        <f>D37*F37</f>
        <v>108360</v>
      </c>
      <c r="H37" s="234">
        <v>110</v>
      </c>
      <c r="I37" s="234">
        <f>D37*H37</f>
        <v>27720</v>
      </c>
      <c r="J37" s="234">
        <f>G37+I37</f>
        <v>136080</v>
      </c>
      <c r="K37" s="236"/>
    </row>
    <row r="38" spans="1:11" ht="26.1" customHeight="1" x14ac:dyDescent="0.2">
      <c r="A38" s="25"/>
      <c r="B38" s="55">
        <v>4.9000000000000004</v>
      </c>
      <c r="C38" s="29" t="s">
        <v>285</v>
      </c>
      <c r="D38" s="233"/>
      <c r="E38" s="43"/>
      <c r="F38" s="234"/>
      <c r="G38" s="235"/>
      <c r="H38" s="234"/>
      <c r="I38" s="234"/>
      <c r="J38" s="234"/>
      <c r="K38" s="236"/>
    </row>
    <row r="39" spans="1:11" ht="26.1" customHeight="1" x14ac:dyDescent="0.2">
      <c r="A39" s="25"/>
      <c r="B39" s="55" t="s">
        <v>159</v>
      </c>
      <c r="C39" s="29" t="s">
        <v>285</v>
      </c>
      <c r="D39" s="233">
        <f>10*4</f>
        <v>40</v>
      </c>
      <c r="E39" s="43" t="s">
        <v>38</v>
      </c>
      <c r="F39" s="234">
        <v>60</v>
      </c>
      <c r="G39" s="235">
        <f>D39*F39</f>
        <v>2400</v>
      </c>
      <c r="H39" s="234">
        <v>90</v>
      </c>
      <c r="I39" s="234">
        <f>D39*H39</f>
        <v>3600</v>
      </c>
      <c r="J39" s="234">
        <f>G39+I39</f>
        <v>6000</v>
      </c>
      <c r="K39" s="236"/>
    </row>
    <row r="40" spans="1:11" ht="26.1" customHeight="1" x14ac:dyDescent="0.2">
      <c r="A40" s="25"/>
      <c r="B40" s="55" t="s">
        <v>159</v>
      </c>
      <c r="C40" s="29" t="s">
        <v>286</v>
      </c>
      <c r="D40" s="233">
        <f>SUM(D38:D39)</f>
        <v>40</v>
      </c>
      <c r="E40" s="43" t="s">
        <v>38</v>
      </c>
      <c r="F40" s="234">
        <v>430</v>
      </c>
      <c r="G40" s="235">
        <f>D40*F40</f>
        <v>17200</v>
      </c>
      <c r="H40" s="234">
        <v>110</v>
      </c>
      <c r="I40" s="234">
        <f>D40*H40</f>
        <v>4400</v>
      </c>
      <c r="J40" s="234">
        <f>G40+I40</f>
        <v>21600</v>
      </c>
      <c r="K40" s="236"/>
    </row>
    <row r="41" spans="1:11" ht="26.1" customHeight="1" x14ac:dyDescent="0.2">
      <c r="A41" s="25"/>
      <c r="B41" s="268">
        <v>4.0999999999999996</v>
      </c>
      <c r="C41" s="29" t="s">
        <v>287</v>
      </c>
      <c r="D41" s="233">
        <v>1</v>
      </c>
      <c r="E41" s="43" t="s">
        <v>38</v>
      </c>
      <c r="F41" s="234">
        <v>25000</v>
      </c>
      <c r="G41" s="235">
        <f>D41*F41</f>
        <v>25000</v>
      </c>
      <c r="H41" s="234">
        <v>3000</v>
      </c>
      <c r="I41" s="234">
        <f>D41*H41</f>
        <v>3000</v>
      </c>
      <c r="J41" s="234">
        <f>G41+I41</f>
        <v>28000</v>
      </c>
      <c r="K41" s="236"/>
    </row>
    <row r="42" spans="1:11" ht="26.1" customHeight="1" x14ac:dyDescent="0.2">
      <c r="A42" s="25"/>
      <c r="B42" s="237">
        <v>4.1100000000000003</v>
      </c>
      <c r="C42" s="32" t="s">
        <v>288</v>
      </c>
      <c r="D42" s="233"/>
      <c r="E42" s="43"/>
      <c r="F42" s="234"/>
      <c r="G42" s="235"/>
      <c r="H42" s="234"/>
      <c r="I42" s="234"/>
      <c r="J42" s="234"/>
      <c r="K42" s="236"/>
    </row>
    <row r="43" spans="1:11" ht="26.1" customHeight="1" x14ac:dyDescent="0.2">
      <c r="A43" s="25"/>
      <c r="B43" s="65" t="s">
        <v>159</v>
      </c>
      <c r="C43" s="32" t="s">
        <v>434</v>
      </c>
      <c r="D43" s="233">
        <f>1*4</f>
        <v>4</v>
      </c>
      <c r="E43" s="55" t="s">
        <v>38</v>
      </c>
      <c r="F43" s="234">
        <v>1000</v>
      </c>
      <c r="G43" s="235">
        <f>D43*F43</f>
        <v>4000</v>
      </c>
      <c r="H43" s="234">
        <v>310</v>
      </c>
      <c r="I43" s="234">
        <f>D43*H43</f>
        <v>1240</v>
      </c>
      <c r="J43" s="234">
        <f>G43+I43</f>
        <v>5240</v>
      </c>
      <c r="K43" s="236"/>
    </row>
    <row r="44" spans="1:11" ht="26.1" customHeight="1" x14ac:dyDescent="0.2">
      <c r="A44" s="25"/>
      <c r="B44" s="65" t="s">
        <v>159</v>
      </c>
      <c r="C44" s="32" t="s">
        <v>289</v>
      </c>
      <c r="D44" s="233">
        <v>1</v>
      </c>
      <c r="E44" s="55" t="s">
        <v>38</v>
      </c>
      <c r="F44" s="234">
        <v>15000</v>
      </c>
      <c r="G44" s="235">
        <f>D44*F44</f>
        <v>15000</v>
      </c>
      <c r="H44" s="234">
        <v>2000</v>
      </c>
      <c r="I44" s="234">
        <f>D44*H44</f>
        <v>2000</v>
      </c>
      <c r="J44" s="234">
        <f>G44+I44</f>
        <v>17000</v>
      </c>
      <c r="K44" s="236"/>
    </row>
    <row r="45" spans="1:11" ht="26.1" customHeight="1" x14ac:dyDescent="0.2">
      <c r="A45" s="25"/>
      <c r="B45" s="65" t="s">
        <v>159</v>
      </c>
      <c r="C45" s="32" t="s">
        <v>290</v>
      </c>
      <c r="D45" s="233">
        <f>1*4</f>
        <v>4</v>
      </c>
      <c r="E45" s="55" t="s">
        <v>38</v>
      </c>
      <c r="F45" s="234">
        <v>1000</v>
      </c>
      <c r="G45" s="235">
        <f>D45*F45</f>
        <v>4000</v>
      </c>
      <c r="H45" s="234">
        <v>310</v>
      </c>
      <c r="I45" s="234">
        <f>D45*H45</f>
        <v>1240</v>
      </c>
      <c r="J45" s="234">
        <f>G45+I45</f>
        <v>5240</v>
      </c>
      <c r="K45" s="236"/>
    </row>
    <row r="46" spans="1:11" ht="26.1" customHeight="1" x14ac:dyDescent="0.2">
      <c r="A46" s="25"/>
      <c r="B46" s="65">
        <v>4.12</v>
      </c>
      <c r="C46" s="32" t="s">
        <v>291</v>
      </c>
      <c r="D46" s="233"/>
      <c r="E46" s="55"/>
      <c r="F46" s="234"/>
      <c r="G46" s="235"/>
      <c r="H46" s="234"/>
      <c r="I46" s="234"/>
      <c r="J46" s="234"/>
      <c r="K46" s="236"/>
    </row>
    <row r="47" spans="1:11" ht="26.1" customHeight="1" x14ac:dyDescent="0.2">
      <c r="A47" s="25"/>
      <c r="B47" s="65" t="s">
        <v>159</v>
      </c>
      <c r="C47" s="32" t="s">
        <v>292</v>
      </c>
      <c r="D47" s="233">
        <v>1</v>
      </c>
      <c r="E47" s="55" t="s">
        <v>38</v>
      </c>
      <c r="F47" s="234">
        <v>5000</v>
      </c>
      <c r="G47" s="235">
        <f>D47*F47</f>
        <v>5000</v>
      </c>
      <c r="H47" s="234">
        <v>1000</v>
      </c>
      <c r="I47" s="234">
        <f>D47*H47</f>
        <v>1000</v>
      </c>
      <c r="J47" s="234">
        <f>G47+I47</f>
        <v>6000</v>
      </c>
      <c r="K47" s="236"/>
    </row>
    <row r="48" spans="1:11" ht="26.1" customHeight="1" x14ac:dyDescent="0.2">
      <c r="A48" s="25"/>
      <c r="B48" s="65" t="s">
        <v>159</v>
      </c>
      <c r="C48" s="32" t="s">
        <v>293</v>
      </c>
      <c r="D48" s="233">
        <f>10*4</f>
        <v>40</v>
      </c>
      <c r="E48" s="55" t="s">
        <v>38</v>
      </c>
      <c r="F48" s="234">
        <v>60</v>
      </c>
      <c r="G48" s="235">
        <f>D48*F48</f>
        <v>2400</v>
      </c>
      <c r="H48" s="234">
        <v>90</v>
      </c>
      <c r="I48" s="234">
        <f>D48*H48</f>
        <v>3600</v>
      </c>
      <c r="J48" s="234">
        <f>G48+I48</f>
        <v>6000</v>
      </c>
      <c r="K48" s="236"/>
    </row>
    <row r="49" spans="1:11" ht="26.1" customHeight="1" thickBot="1" x14ac:dyDescent="0.25">
      <c r="A49" s="25"/>
      <c r="B49" s="55" t="s">
        <v>159</v>
      </c>
      <c r="C49" s="29" t="s">
        <v>436</v>
      </c>
      <c r="D49" s="233">
        <f>SUM(D48)</f>
        <v>40</v>
      </c>
      <c r="E49" s="43" t="s">
        <v>38</v>
      </c>
      <c r="F49" s="234">
        <v>430</v>
      </c>
      <c r="G49" s="235">
        <f>D49*F49</f>
        <v>17200</v>
      </c>
      <c r="H49" s="234">
        <v>110</v>
      </c>
      <c r="I49" s="234">
        <f>D49*H49</f>
        <v>4400</v>
      </c>
      <c r="J49" s="234">
        <f>G49+I49</f>
        <v>21600</v>
      </c>
      <c r="K49" s="236"/>
    </row>
    <row r="50" spans="1:11" ht="26.1" customHeight="1" thickBot="1" x14ac:dyDescent="0.25">
      <c r="A50" s="61"/>
      <c r="B50" s="601" t="s">
        <v>319</v>
      </c>
      <c r="C50" s="600"/>
      <c r="D50" s="600"/>
      <c r="E50" s="600"/>
      <c r="F50" s="600"/>
      <c r="G50" s="600"/>
      <c r="H50" s="600"/>
      <c r="I50" s="540"/>
      <c r="J50" s="62">
        <f>SUM(J33:J49)</f>
        <v>1328936</v>
      </c>
      <c r="K50" s="63"/>
    </row>
  </sheetData>
  <mergeCells count="17">
    <mergeCell ref="K31:K32"/>
    <mergeCell ref="K5:K6"/>
    <mergeCell ref="B5:C6"/>
    <mergeCell ref="D5:D6"/>
    <mergeCell ref="A5:A6"/>
    <mergeCell ref="H5:I5"/>
    <mergeCell ref="E5:E6"/>
    <mergeCell ref="F5:G5"/>
    <mergeCell ref="B26:I26"/>
    <mergeCell ref="A31:A32"/>
    <mergeCell ref="B33:I33"/>
    <mergeCell ref="B50:I50"/>
    <mergeCell ref="B31:C32"/>
    <mergeCell ref="D31:D32"/>
    <mergeCell ref="E31:E32"/>
    <mergeCell ref="F31:G31"/>
    <mergeCell ref="H31:I31"/>
  </mergeCells>
  <phoneticPr fontId="0" type="noConversion"/>
  <printOptions horizontalCentered="1" verticalCentered="1"/>
  <pageMargins left="0.47222222222222199" right="0.47222222222222199" top="0.39374999999999999" bottom="0.27569444444444402" header="0.51180555555555596" footer="0.51180555555555596"/>
  <pageSetup paperSize="9" scale="71" firstPageNumber="0" orientation="landscape" r:id="rId1"/>
  <headerFooter alignWithMargins="0"/>
  <rowBreaks count="1" manualBreakCount="1">
    <brk id="26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E1DE-CFCF-4B19-9011-F15704D78E3F}">
  <dimension ref="A1:M50"/>
  <sheetViews>
    <sheetView topLeftCell="A37" zoomScale="90" zoomScaleNormal="90" zoomScaleSheetLayoutView="160" workbookViewId="0">
      <selection activeCell="N35" sqref="N35"/>
    </sheetView>
  </sheetViews>
  <sheetFormatPr defaultColWidth="9.140625" defaultRowHeight="26.1" customHeight="1" x14ac:dyDescent="0.2"/>
  <cols>
    <col min="1" max="2" width="10.7109375" style="16" customWidth="1"/>
    <col min="3" max="3" width="55.7109375" style="16" customWidth="1"/>
    <col min="4" max="4" width="12.7109375" style="76" customWidth="1"/>
    <col min="5" max="5" width="10.7109375" style="16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3.7109375" style="16" customWidth="1"/>
    <col min="12" max="16384" width="9.140625" style="16"/>
  </cols>
  <sheetData>
    <row r="1" spans="1:12" s="6" customFormat="1" ht="26.1" customHeight="1" x14ac:dyDescent="0.2">
      <c r="A1" s="6" t="s">
        <v>126</v>
      </c>
      <c r="C1" s="16" t="str">
        <f>รวมราคา!C1</f>
        <v>อาคารที่พักอาศัย (แฟลต) จำนวน 40 ครอบครัว สูง 5 ชั้น (ใต้ถุนโล่ง)</v>
      </c>
      <c r="J1" s="37" t="s">
        <v>157</v>
      </c>
      <c r="K1" s="88">
        <v>16</v>
      </c>
    </row>
    <row r="2" spans="1:12" s="6" customFormat="1" ht="26.1" customHeight="1" x14ac:dyDescent="0.2">
      <c r="A2" s="6" t="s">
        <v>17</v>
      </c>
      <c r="C2" s="16" t="s">
        <v>557</v>
      </c>
      <c r="G2" s="6" t="s">
        <v>127</v>
      </c>
      <c r="H2" s="16" t="str">
        <f>รวมราคา!H2</f>
        <v>ตร.10817/60</v>
      </c>
      <c r="I2" s="16"/>
    </row>
    <row r="3" spans="1:12" s="6" customFormat="1" ht="26.1" customHeight="1" x14ac:dyDescent="0.2">
      <c r="A3" s="6" t="s">
        <v>0</v>
      </c>
      <c r="C3" s="88" t="s">
        <v>570</v>
      </c>
      <c r="G3" s="6" t="s">
        <v>551</v>
      </c>
      <c r="H3" s="109"/>
    </row>
    <row r="4" spans="1:12" s="6" customFormat="1" ht="26.1" customHeight="1" thickBot="1" x14ac:dyDescent="0.25">
      <c r="A4" s="87" t="s">
        <v>125</v>
      </c>
      <c r="B4" s="87"/>
      <c r="C4" s="89"/>
      <c r="D4" s="87"/>
      <c r="E4" s="87"/>
      <c r="F4" s="87"/>
      <c r="G4" s="87"/>
      <c r="H4" s="87"/>
      <c r="I4" s="87"/>
      <c r="J4" s="87"/>
    </row>
    <row r="5" spans="1:12" s="6" customFormat="1" ht="26.1" customHeight="1" thickBot="1" x14ac:dyDescent="0.25">
      <c r="A5" s="522" t="s">
        <v>3</v>
      </c>
      <c r="B5" s="522" t="s">
        <v>4</v>
      </c>
      <c r="C5" s="522"/>
      <c r="D5" s="618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2" s="6" customFormat="1" ht="26.1" customHeight="1" x14ac:dyDescent="0.2">
      <c r="A6" s="522"/>
      <c r="B6" s="522"/>
      <c r="C6" s="522"/>
      <c r="D6" s="618"/>
      <c r="E6" s="600"/>
      <c r="F6" s="1" t="s">
        <v>23</v>
      </c>
      <c r="G6" s="40" t="s">
        <v>24</v>
      </c>
      <c r="H6" s="1" t="s">
        <v>23</v>
      </c>
      <c r="I6" s="1" t="s">
        <v>24</v>
      </c>
      <c r="J6" s="41" t="s">
        <v>25</v>
      </c>
      <c r="K6" s="540"/>
    </row>
    <row r="7" spans="1:12" s="6" customFormat="1" ht="26.1" customHeight="1" x14ac:dyDescent="0.2">
      <c r="A7" s="20">
        <v>5</v>
      </c>
      <c r="B7" s="221" t="s">
        <v>98</v>
      </c>
      <c r="C7" s="221"/>
      <c r="D7" s="252"/>
      <c r="E7" s="222"/>
      <c r="F7" s="24"/>
      <c r="G7" s="223"/>
      <c r="H7" s="24"/>
      <c r="I7" s="24"/>
      <c r="J7" s="24"/>
      <c r="K7" s="224"/>
    </row>
    <row r="8" spans="1:12" ht="26.1" customHeight="1" x14ac:dyDescent="0.2">
      <c r="A8" s="42"/>
      <c r="B8" s="43">
        <v>5.0999999999999996</v>
      </c>
      <c r="C8" s="48" t="s">
        <v>294</v>
      </c>
      <c r="D8" s="249">
        <v>51</v>
      </c>
      <c r="E8" s="43" t="s">
        <v>72</v>
      </c>
      <c r="F8" s="240">
        <v>0</v>
      </c>
      <c r="G8" s="250">
        <f>D8*F8</f>
        <v>0</v>
      </c>
      <c r="H8" s="240">
        <v>112</v>
      </c>
      <c r="I8" s="240">
        <f>D8*H8</f>
        <v>5712</v>
      </c>
      <c r="J8" s="240">
        <f>G8+I8</f>
        <v>5712</v>
      </c>
      <c r="K8" s="57"/>
    </row>
    <row r="9" spans="1:12" ht="26.1" customHeight="1" x14ac:dyDescent="0.2">
      <c r="A9" s="42"/>
      <c r="B9" s="43">
        <v>5.2</v>
      </c>
      <c r="C9" s="48" t="s">
        <v>189</v>
      </c>
      <c r="D9" s="249">
        <v>6</v>
      </c>
      <c r="E9" s="43" t="s">
        <v>72</v>
      </c>
      <c r="F9" s="240">
        <f>วัสดุ!B22</f>
        <v>654.21</v>
      </c>
      <c r="G9" s="250">
        <f t="shared" ref="G9:G23" si="0">D9*F9</f>
        <v>3925.26</v>
      </c>
      <c r="H9" s="240">
        <v>99</v>
      </c>
      <c r="I9" s="240">
        <f t="shared" ref="I9:I23" si="1">D9*H9</f>
        <v>594</v>
      </c>
      <c r="J9" s="240">
        <f t="shared" ref="J9:J23" si="2">G9+I9</f>
        <v>4519.26</v>
      </c>
      <c r="K9" s="50"/>
      <c r="L9" s="16">
        <f>5.85</f>
        <v>5.85</v>
      </c>
    </row>
    <row r="10" spans="1:12" ht="26.1" customHeight="1" x14ac:dyDescent="0.2">
      <c r="A10" s="42"/>
      <c r="B10" s="43">
        <v>5.3</v>
      </c>
      <c r="C10" s="48" t="s">
        <v>295</v>
      </c>
      <c r="D10" s="251">
        <v>50</v>
      </c>
      <c r="E10" s="43" t="s">
        <v>70</v>
      </c>
      <c r="F10" s="240">
        <v>480</v>
      </c>
      <c r="G10" s="250">
        <f t="shared" si="0"/>
        <v>24000</v>
      </c>
      <c r="H10" s="240">
        <v>176</v>
      </c>
      <c r="I10" s="240">
        <f t="shared" si="1"/>
        <v>8800</v>
      </c>
      <c r="J10" s="240">
        <f t="shared" si="2"/>
        <v>32800</v>
      </c>
      <c r="K10" s="50"/>
    </row>
    <row r="11" spans="1:12" ht="26.1" customHeight="1" x14ac:dyDescent="0.2">
      <c r="A11" s="42"/>
      <c r="B11" s="43">
        <v>5.4</v>
      </c>
      <c r="C11" s="48" t="s">
        <v>296</v>
      </c>
      <c r="D11" s="249">
        <v>5</v>
      </c>
      <c r="E11" s="43" t="s">
        <v>72</v>
      </c>
      <c r="F11" s="240">
        <f>วัสดุ!B2</f>
        <v>2092.5300000000002</v>
      </c>
      <c r="G11" s="250">
        <f t="shared" si="0"/>
        <v>10462.650000000001</v>
      </c>
      <c r="H11" s="240">
        <v>426</v>
      </c>
      <c r="I11" s="240">
        <f t="shared" si="1"/>
        <v>2130</v>
      </c>
      <c r="J11" s="240">
        <f t="shared" si="2"/>
        <v>12592.650000000001</v>
      </c>
      <c r="K11" s="50"/>
      <c r="L11" s="16">
        <v>4.6500000000000004</v>
      </c>
    </row>
    <row r="12" spans="1:12" ht="26.1" customHeight="1" x14ac:dyDescent="0.2">
      <c r="A12" s="42"/>
      <c r="B12" s="43">
        <v>5.5</v>
      </c>
      <c r="C12" s="48" t="s">
        <v>243</v>
      </c>
      <c r="D12" s="249">
        <v>17.5</v>
      </c>
      <c r="E12" s="43" t="s">
        <v>72</v>
      </c>
      <c r="F12" s="240">
        <f>วัสดุ!B1</f>
        <v>2187.38</v>
      </c>
      <c r="G12" s="250">
        <f t="shared" si="0"/>
        <v>38279.15</v>
      </c>
      <c r="H12" s="240">
        <v>426</v>
      </c>
      <c r="I12" s="240">
        <f t="shared" si="1"/>
        <v>7455</v>
      </c>
      <c r="J12" s="240">
        <f t="shared" si="2"/>
        <v>45734.15</v>
      </c>
      <c r="K12" s="50"/>
      <c r="L12" s="16">
        <v>17.100000000000001</v>
      </c>
    </row>
    <row r="13" spans="1:12" ht="26.1" customHeight="1" x14ac:dyDescent="0.2">
      <c r="A13" s="42"/>
      <c r="B13" s="43">
        <v>5.6</v>
      </c>
      <c r="C13" s="48" t="s">
        <v>297</v>
      </c>
      <c r="D13" s="249"/>
      <c r="E13" s="43"/>
      <c r="F13" s="240"/>
      <c r="G13" s="250"/>
      <c r="H13" s="240"/>
      <c r="I13" s="240"/>
      <c r="J13" s="240"/>
      <c r="K13" s="50"/>
    </row>
    <row r="14" spans="1:12" ht="26.1" customHeight="1" x14ac:dyDescent="0.2">
      <c r="A14" s="42"/>
      <c r="B14" s="43" t="s">
        <v>159</v>
      </c>
      <c r="C14" s="48" t="s">
        <v>233</v>
      </c>
      <c r="D14" s="249">
        <v>58.4</v>
      </c>
      <c r="E14" s="43" t="s">
        <v>73</v>
      </c>
      <c r="F14" s="240">
        <f>วัสดุ!B3</f>
        <v>22.19</v>
      </c>
      <c r="G14" s="250">
        <f t="shared" si="0"/>
        <v>1295.896</v>
      </c>
      <c r="H14" s="240">
        <v>4.4000000000000004</v>
      </c>
      <c r="I14" s="240">
        <f t="shared" si="1"/>
        <v>256.96000000000004</v>
      </c>
      <c r="J14" s="240">
        <f t="shared" si="2"/>
        <v>1552.856</v>
      </c>
      <c r="K14" s="50"/>
    </row>
    <row r="15" spans="1:12" ht="26.1" customHeight="1" x14ac:dyDescent="0.2">
      <c r="A15" s="42"/>
      <c r="B15" s="43" t="s">
        <v>159</v>
      </c>
      <c r="C15" s="48" t="s">
        <v>234</v>
      </c>
      <c r="D15" s="249">
        <v>1014.5</v>
      </c>
      <c r="E15" s="43" t="s">
        <v>73</v>
      </c>
      <c r="F15" s="240">
        <f>วัสดุ!B4</f>
        <v>21.22</v>
      </c>
      <c r="G15" s="250">
        <f t="shared" si="0"/>
        <v>21527.69</v>
      </c>
      <c r="H15" s="240">
        <v>4.4000000000000004</v>
      </c>
      <c r="I15" s="240">
        <f t="shared" si="1"/>
        <v>4463.8</v>
      </c>
      <c r="J15" s="240">
        <f t="shared" si="2"/>
        <v>25991.489999999998</v>
      </c>
      <c r="K15" s="50"/>
    </row>
    <row r="16" spans="1:12" ht="26.1" customHeight="1" x14ac:dyDescent="0.2">
      <c r="A16" s="42"/>
      <c r="B16" s="43" t="s">
        <v>159</v>
      </c>
      <c r="C16" s="48" t="s">
        <v>238</v>
      </c>
      <c r="D16" s="249">
        <f>724+308</f>
        <v>1032</v>
      </c>
      <c r="E16" s="43" t="s">
        <v>73</v>
      </c>
      <c r="F16" s="240">
        <f>วัสดุ!B5</f>
        <v>21.43</v>
      </c>
      <c r="G16" s="250">
        <f t="shared" si="0"/>
        <v>22115.759999999998</v>
      </c>
      <c r="H16" s="240">
        <v>3.6</v>
      </c>
      <c r="I16" s="240">
        <f t="shared" si="1"/>
        <v>3715.2000000000003</v>
      </c>
      <c r="J16" s="240">
        <f t="shared" si="2"/>
        <v>25830.959999999999</v>
      </c>
      <c r="K16" s="50"/>
    </row>
    <row r="17" spans="1:13" ht="26.1" customHeight="1" x14ac:dyDescent="0.2">
      <c r="A17" s="42"/>
      <c r="B17" s="43" t="s">
        <v>159</v>
      </c>
      <c r="C17" s="48" t="s">
        <v>298</v>
      </c>
      <c r="D17" s="249">
        <v>0</v>
      </c>
      <c r="E17" s="43" t="s">
        <v>73</v>
      </c>
      <c r="F17" s="240">
        <f>วัสดุ!B6</f>
        <v>22.56</v>
      </c>
      <c r="G17" s="250">
        <f t="shared" si="0"/>
        <v>0</v>
      </c>
      <c r="H17" s="240">
        <v>3.6</v>
      </c>
      <c r="I17" s="240">
        <f t="shared" si="1"/>
        <v>0</v>
      </c>
      <c r="J17" s="240">
        <f t="shared" si="2"/>
        <v>0</v>
      </c>
      <c r="K17" s="50"/>
    </row>
    <row r="18" spans="1:13" ht="26.1" customHeight="1" x14ac:dyDescent="0.2">
      <c r="A18" s="42"/>
      <c r="B18" s="43" t="s">
        <v>159</v>
      </c>
      <c r="C18" s="48" t="s">
        <v>26</v>
      </c>
      <c r="D18" s="249">
        <f>SUM(D14:D17)*0.03</f>
        <v>63.146999999999998</v>
      </c>
      <c r="E18" s="43" t="s">
        <v>73</v>
      </c>
      <c r="F18" s="240">
        <f>วัสดุ!B20</f>
        <v>40.89</v>
      </c>
      <c r="G18" s="250">
        <f t="shared" si="0"/>
        <v>2582.0808299999999</v>
      </c>
      <c r="H18" s="240">
        <v>0</v>
      </c>
      <c r="I18" s="240">
        <f t="shared" si="1"/>
        <v>0</v>
      </c>
      <c r="J18" s="240">
        <f t="shared" si="2"/>
        <v>2582.0808299999999</v>
      </c>
      <c r="K18" s="50"/>
    </row>
    <row r="19" spans="1:13" ht="26.1" customHeight="1" x14ac:dyDescent="0.2">
      <c r="A19" s="42"/>
      <c r="B19" s="43">
        <v>5.7</v>
      </c>
      <c r="C19" s="48" t="s">
        <v>299</v>
      </c>
      <c r="D19" s="249">
        <f>D20</f>
        <v>149</v>
      </c>
      <c r="E19" s="43" t="s">
        <v>300</v>
      </c>
      <c r="F19" s="240">
        <v>400</v>
      </c>
      <c r="G19" s="250">
        <f t="shared" si="0"/>
        <v>59600</v>
      </c>
      <c r="H19" s="240">
        <v>0</v>
      </c>
      <c r="I19" s="240">
        <f t="shared" si="1"/>
        <v>0</v>
      </c>
      <c r="J19" s="240">
        <f t="shared" si="2"/>
        <v>59600</v>
      </c>
      <c r="K19" s="253"/>
    </row>
    <row r="20" spans="1:13" ht="26.1" customHeight="1" x14ac:dyDescent="0.2">
      <c r="A20" s="42"/>
      <c r="B20" s="43" t="s">
        <v>159</v>
      </c>
      <c r="C20" s="48" t="s">
        <v>179</v>
      </c>
      <c r="D20" s="249">
        <v>149</v>
      </c>
      <c r="E20" s="43" t="s">
        <v>40</v>
      </c>
      <c r="F20" s="240">
        <v>0</v>
      </c>
      <c r="G20" s="250">
        <f t="shared" si="0"/>
        <v>0</v>
      </c>
      <c r="H20" s="240">
        <v>139</v>
      </c>
      <c r="I20" s="240">
        <f t="shared" si="1"/>
        <v>20711</v>
      </c>
      <c r="J20" s="240">
        <f t="shared" si="2"/>
        <v>20711</v>
      </c>
      <c r="K20" s="50"/>
    </row>
    <row r="21" spans="1:13" ht="26.1" customHeight="1" x14ac:dyDescent="0.2">
      <c r="A21" s="42"/>
      <c r="B21" s="43" t="s">
        <v>159</v>
      </c>
      <c r="C21" s="48" t="s">
        <v>301</v>
      </c>
      <c r="D21" s="249">
        <f>0.3*D19</f>
        <v>44.699999999999996</v>
      </c>
      <c r="E21" s="43" t="s">
        <v>74</v>
      </c>
      <c r="F21" s="240">
        <v>400</v>
      </c>
      <c r="G21" s="250">
        <f t="shared" si="0"/>
        <v>17880</v>
      </c>
      <c r="H21" s="240">
        <v>0</v>
      </c>
      <c r="I21" s="240">
        <f t="shared" si="1"/>
        <v>0</v>
      </c>
      <c r="J21" s="240">
        <f t="shared" si="2"/>
        <v>17880</v>
      </c>
      <c r="K21" s="253"/>
    </row>
    <row r="22" spans="1:13" ht="26.1" customHeight="1" x14ac:dyDescent="0.2">
      <c r="A22" s="42"/>
      <c r="B22" s="43">
        <v>5.8</v>
      </c>
      <c r="C22" s="48" t="s">
        <v>302</v>
      </c>
      <c r="D22" s="251">
        <v>56</v>
      </c>
      <c r="E22" s="43" t="s">
        <v>70</v>
      </c>
      <c r="F22" s="240">
        <v>28</v>
      </c>
      <c r="G22" s="250">
        <f t="shared" si="0"/>
        <v>1568</v>
      </c>
      <c r="H22" s="240">
        <v>0</v>
      </c>
      <c r="I22" s="240">
        <f t="shared" si="1"/>
        <v>0</v>
      </c>
      <c r="J22" s="240">
        <f t="shared" si="2"/>
        <v>1568</v>
      </c>
      <c r="K22" s="253"/>
    </row>
    <row r="23" spans="1:13" ht="26.1" customHeight="1" x14ac:dyDescent="0.2">
      <c r="A23" s="42"/>
      <c r="B23" s="43">
        <v>5.9</v>
      </c>
      <c r="C23" s="48" t="s">
        <v>181</v>
      </c>
      <c r="D23" s="251">
        <v>2</v>
      </c>
      <c r="E23" s="43" t="s">
        <v>303</v>
      </c>
      <c r="F23" s="240">
        <v>500</v>
      </c>
      <c r="G23" s="250">
        <f t="shared" si="0"/>
        <v>1000</v>
      </c>
      <c r="H23" s="240">
        <v>0</v>
      </c>
      <c r="I23" s="240">
        <f t="shared" si="1"/>
        <v>0</v>
      </c>
      <c r="J23" s="240">
        <f t="shared" si="2"/>
        <v>1000</v>
      </c>
      <c r="K23" s="50"/>
    </row>
    <row r="24" spans="1:13" s="6" customFormat="1" ht="26.1" customHeight="1" thickBot="1" x14ac:dyDescent="0.25">
      <c r="A24" s="114"/>
      <c r="B24" s="602" t="s">
        <v>27</v>
      </c>
      <c r="C24" s="603"/>
      <c r="D24" s="603"/>
      <c r="E24" s="603"/>
      <c r="F24" s="603"/>
      <c r="G24" s="603"/>
      <c r="H24" s="603"/>
      <c r="I24" s="604"/>
      <c r="J24" s="150">
        <f>SUM(J7:J23)</f>
        <v>258074.44682999997</v>
      </c>
      <c r="K24" s="151"/>
      <c r="L24" s="126"/>
      <c r="M24" s="126"/>
    </row>
    <row r="25" spans="1:13" s="6" customFormat="1" ht="26.1" customHeight="1" x14ac:dyDescent="0.2">
      <c r="A25" s="6" t="str">
        <f>รวมราคา!A1</f>
        <v xml:space="preserve">ประมาณราคาค่าก่อสร้าง </v>
      </c>
      <c r="C25" s="88" t="str">
        <f>รวมราคา!C1</f>
        <v>อาคารที่พักอาศัย (แฟลต) จำนวน 40 ครอบครัว สูง 5 ชั้น (ใต้ถุนโล่ง)</v>
      </c>
      <c r="J25" s="16" t="str">
        <f>รวมราคา!J1</f>
        <v>แบบ ปร.4   แผ่นที่</v>
      </c>
      <c r="K25" s="88">
        <v>17</v>
      </c>
    </row>
    <row r="26" spans="1:13" s="6" customFormat="1" ht="26.1" customHeight="1" x14ac:dyDescent="0.2">
      <c r="A26" s="6" t="str">
        <f>รวมราคา!A2</f>
        <v xml:space="preserve">สถานที่ก่อสร้าง  </v>
      </c>
      <c r="C26" s="16" t="str">
        <f>รวมราคา!C2</f>
        <v>บก.ตชก.ภาค 2 ถ.หลังศูนย์ราชการ ต.ในเมือง อ.เมือง จ.ขอนแก่น</v>
      </c>
      <c r="G26" s="6" t="str">
        <f>รวมราคา!G2</f>
        <v xml:space="preserve">แบบเลขที่ </v>
      </c>
      <c r="H26" s="16" t="str">
        <f>รวมราคา!H2</f>
        <v>ตร.10817/60</v>
      </c>
    </row>
    <row r="27" spans="1:13" s="6" customFormat="1" ht="26.1" customHeight="1" x14ac:dyDescent="0.2">
      <c r="A27" s="6" t="str">
        <f>รวมราคา!A3</f>
        <v xml:space="preserve">ฝ่ายประมาณราคา   </v>
      </c>
      <c r="C27" s="88" t="str">
        <f>รวมราคา!C3</f>
        <v>กลุ่มงานวิชาชีพและเชี่ยวชาญ กองโยธาธิการ สำนักงานส่งกำลังบำรุง สำนักงานตำรวจแห่งชาติ</v>
      </c>
      <c r="G27" s="6" t="str">
        <f>รวมราคา!G3</f>
        <v>กำหนดราคากลางเมื่อ</v>
      </c>
      <c r="H27" s="108"/>
    </row>
    <row r="28" spans="1:13" s="6" customFormat="1" ht="26.1" customHeight="1" thickBot="1" x14ac:dyDescent="0.25">
      <c r="A28" s="87" t="str">
        <f>รวมราคา!A4</f>
        <v xml:space="preserve">ประมาณราคาโดย  </v>
      </c>
      <c r="B28" s="87"/>
      <c r="C28" s="89"/>
      <c r="D28" s="87"/>
      <c r="E28" s="87"/>
      <c r="F28" s="87"/>
      <c r="G28" s="87"/>
      <c r="H28" s="87"/>
      <c r="I28" s="87"/>
      <c r="J28" s="87"/>
    </row>
    <row r="29" spans="1:13" ht="26.1" customHeight="1" thickBot="1" x14ac:dyDescent="0.25">
      <c r="A29" s="605" t="s">
        <v>3</v>
      </c>
      <c r="B29" s="610" t="s">
        <v>4</v>
      </c>
      <c r="C29" s="607"/>
      <c r="D29" s="612" t="s">
        <v>18</v>
      </c>
      <c r="E29" s="609" t="s">
        <v>19</v>
      </c>
      <c r="F29" s="594" t="s">
        <v>20</v>
      </c>
      <c r="G29" s="597"/>
      <c r="H29" s="594" t="s">
        <v>21</v>
      </c>
      <c r="I29" s="597"/>
      <c r="J29" s="111" t="s">
        <v>22</v>
      </c>
      <c r="K29" s="607" t="s">
        <v>8</v>
      </c>
      <c r="L29" s="6"/>
    </row>
    <row r="30" spans="1:13" ht="26.1" customHeight="1" thickBot="1" x14ac:dyDescent="0.25">
      <c r="A30" s="606"/>
      <c r="B30" s="611"/>
      <c r="C30" s="608"/>
      <c r="D30" s="613"/>
      <c r="E30" s="614"/>
      <c r="F30" s="116" t="s">
        <v>23</v>
      </c>
      <c r="G30" s="115" t="s">
        <v>24</v>
      </c>
      <c r="H30" s="116" t="s">
        <v>23</v>
      </c>
      <c r="I30" s="116" t="s">
        <v>24</v>
      </c>
      <c r="J30" s="114" t="s">
        <v>25</v>
      </c>
      <c r="K30" s="608"/>
      <c r="L30" s="6"/>
    </row>
    <row r="31" spans="1:13" s="6" customFormat="1" ht="26.1" customHeight="1" x14ac:dyDescent="0.2">
      <c r="A31" s="248"/>
      <c r="B31" s="615" t="s">
        <v>28</v>
      </c>
      <c r="C31" s="616"/>
      <c r="D31" s="616"/>
      <c r="E31" s="616"/>
      <c r="F31" s="616"/>
      <c r="G31" s="616"/>
      <c r="H31" s="616"/>
      <c r="I31" s="617"/>
      <c r="J31" s="246">
        <f>J24</f>
        <v>258074.44682999997</v>
      </c>
      <c r="K31" s="247"/>
    </row>
    <row r="32" spans="1:13" ht="26.1" customHeight="1" x14ac:dyDescent="0.2">
      <c r="A32" s="42"/>
      <c r="B32" s="255">
        <v>5.0999999999999996</v>
      </c>
      <c r="C32" s="48" t="s">
        <v>304</v>
      </c>
      <c r="D32" s="249">
        <v>23</v>
      </c>
      <c r="E32" s="43" t="s">
        <v>300</v>
      </c>
      <c r="F32" s="240">
        <v>298</v>
      </c>
      <c r="G32" s="250">
        <f>D32*F32</f>
        <v>6854</v>
      </c>
      <c r="H32" s="240">
        <v>94</v>
      </c>
      <c r="I32" s="240">
        <f>D32*H32</f>
        <v>2162</v>
      </c>
      <c r="J32" s="240">
        <f>G32+I32</f>
        <v>9016</v>
      </c>
      <c r="K32" s="50"/>
    </row>
    <row r="33" spans="1:11" ht="26.1" customHeight="1" x14ac:dyDescent="0.2">
      <c r="A33" s="42"/>
      <c r="B33" s="43">
        <v>5.1100000000000003</v>
      </c>
      <c r="C33" s="48" t="s">
        <v>305</v>
      </c>
      <c r="D33" s="249">
        <f>D32*2</f>
        <v>46</v>
      </c>
      <c r="E33" s="43" t="s">
        <v>300</v>
      </c>
      <c r="F33" s="240">
        <v>84</v>
      </c>
      <c r="G33" s="250">
        <f>D33*F33</f>
        <v>3864</v>
      </c>
      <c r="H33" s="240">
        <v>87</v>
      </c>
      <c r="I33" s="240">
        <f>D33*H33</f>
        <v>4002</v>
      </c>
      <c r="J33" s="240">
        <f>G33+I33</f>
        <v>7866</v>
      </c>
      <c r="K33" s="50"/>
    </row>
    <row r="34" spans="1:11" ht="26.1" customHeight="1" x14ac:dyDescent="0.2">
      <c r="A34" s="42"/>
      <c r="B34" s="43">
        <v>5.12</v>
      </c>
      <c r="C34" s="48" t="s">
        <v>306</v>
      </c>
      <c r="D34" s="249">
        <v>97</v>
      </c>
      <c r="E34" s="43" t="s">
        <v>300</v>
      </c>
      <c r="F34" s="240">
        <v>101</v>
      </c>
      <c r="G34" s="250">
        <f t="shared" ref="G34:G41" si="3">D34*F34</f>
        <v>9797</v>
      </c>
      <c r="H34" s="240">
        <v>82</v>
      </c>
      <c r="I34" s="240">
        <f t="shared" ref="I34:I43" si="4">D34*H34</f>
        <v>7954</v>
      </c>
      <c r="J34" s="240">
        <f t="shared" ref="J34:J43" si="5">G34+I34</f>
        <v>17751</v>
      </c>
      <c r="K34" s="254"/>
    </row>
    <row r="35" spans="1:11" ht="26.1" customHeight="1" x14ac:dyDescent="0.2">
      <c r="A35" s="42"/>
      <c r="B35" s="43">
        <v>5.13</v>
      </c>
      <c r="C35" s="48" t="s">
        <v>307</v>
      </c>
      <c r="D35" s="251">
        <v>5</v>
      </c>
      <c r="E35" s="43" t="s">
        <v>308</v>
      </c>
      <c r="F35" s="240">
        <v>150</v>
      </c>
      <c r="G35" s="250">
        <f t="shared" si="3"/>
        <v>750</v>
      </c>
      <c r="H35" s="240">
        <v>0</v>
      </c>
      <c r="I35" s="240">
        <f t="shared" si="4"/>
        <v>0</v>
      </c>
      <c r="J35" s="240">
        <f t="shared" si="5"/>
        <v>750</v>
      </c>
      <c r="K35" s="254" t="s">
        <v>309</v>
      </c>
    </row>
    <row r="36" spans="1:11" ht="26.1" customHeight="1" x14ac:dyDescent="0.2">
      <c r="A36" s="42"/>
      <c r="B36" s="43">
        <v>5.14</v>
      </c>
      <c r="C36" s="48" t="s">
        <v>310</v>
      </c>
      <c r="D36" s="251">
        <v>1</v>
      </c>
      <c r="E36" s="43" t="s">
        <v>38</v>
      </c>
      <c r="F36" s="240">
        <v>6300</v>
      </c>
      <c r="G36" s="250">
        <f t="shared" si="3"/>
        <v>6300</v>
      </c>
      <c r="H36" s="240">
        <v>0</v>
      </c>
      <c r="I36" s="240">
        <f t="shared" si="4"/>
        <v>0</v>
      </c>
      <c r="J36" s="240">
        <f t="shared" si="5"/>
        <v>6300</v>
      </c>
      <c r="K36" s="254" t="s">
        <v>309</v>
      </c>
    </row>
    <row r="37" spans="1:11" ht="26.1" customHeight="1" x14ac:dyDescent="0.2">
      <c r="A37" s="42"/>
      <c r="B37" s="43">
        <v>5.15</v>
      </c>
      <c r="C37" s="48" t="s">
        <v>311</v>
      </c>
      <c r="D37" s="251">
        <v>1</v>
      </c>
      <c r="E37" s="43" t="s">
        <v>38</v>
      </c>
      <c r="F37" s="240">
        <v>1920</v>
      </c>
      <c r="G37" s="250">
        <f t="shared" si="3"/>
        <v>1920</v>
      </c>
      <c r="H37" s="240">
        <v>0</v>
      </c>
      <c r="I37" s="240">
        <f t="shared" si="4"/>
        <v>0</v>
      </c>
      <c r="J37" s="240">
        <f t="shared" si="5"/>
        <v>1920</v>
      </c>
      <c r="K37" s="254" t="s">
        <v>309</v>
      </c>
    </row>
    <row r="38" spans="1:11" ht="26.1" customHeight="1" x14ac:dyDescent="0.2">
      <c r="A38" s="42"/>
      <c r="B38" s="43">
        <v>5.16</v>
      </c>
      <c r="C38" s="48" t="s">
        <v>312</v>
      </c>
      <c r="D38" s="249">
        <v>4</v>
      </c>
      <c r="E38" s="43" t="s">
        <v>40</v>
      </c>
      <c r="F38" s="240">
        <v>62</v>
      </c>
      <c r="G38" s="250">
        <f t="shared" si="3"/>
        <v>248</v>
      </c>
      <c r="H38" s="240">
        <v>35</v>
      </c>
      <c r="I38" s="240">
        <f t="shared" si="4"/>
        <v>140</v>
      </c>
      <c r="J38" s="240">
        <f t="shared" si="5"/>
        <v>388</v>
      </c>
      <c r="K38" s="254"/>
    </row>
    <row r="39" spans="1:11" ht="26.1" customHeight="1" x14ac:dyDescent="0.2">
      <c r="A39" s="42"/>
      <c r="B39" s="43">
        <v>5.17</v>
      </c>
      <c r="C39" s="48" t="s">
        <v>313</v>
      </c>
      <c r="D39" s="249">
        <v>42</v>
      </c>
      <c r="E39" s="43" t="s">
        <v>40</v>
      </c>
      <c r="F39" s="240">
        <v>37</v>
      </c>
      <c r="G39" s="250">
        <f t="shared" si="3"/>
        <v>1554</v>
      </c>
      <c r="H39" s="240">
        <v>34</v>
      </c>
      <c r="I39" s="240">
        <f t="shared" si="4"/>
        <v>1428</v>
      </c>
      <c r="J39" s="240">
        <f t="shared" si="5"/>
        <v>2982</v>
      </c>
      <c r="K39" s="254"/>
    </row>
    <row r="40" spans="1:11" ht="26.1" customHeight="1" x14ac:dyDescent="0.2">
      <c r="A40" s="42"/>
      <c r="B40" s="43">
        <v>5.18</v>
      </c>
      <c r="C40" s="48" t="s">
        <v>314</v>
      </c>
      <c r="D40" s="249">
        <v>24</v>
      </c>
      <c r="E40" s="43" t="s">
        <v>71</v>
      </c>
      <c r="F40" s="240">
        <v>125</v>
      </c>
      <c r="G40" s="250">
        <f t="shared" si="3"/>
        <v>3000</v>
      </c>
      <c r="H40" s="240">
        <v>25</v>
      </c>
      <c r="I40" s="240">
        <f t="shared" si="4"/>
        <v>600</v>
      </c>
      <c r="J40" s="240">
        <f t="shared" si="5"/>
        <v>3600</v>
      </c>
      <c r="K40" s="254"/>
    </row>
    <row r="41" spans="1:11" ht="26.1" customHeight="1" x14ac:dyDescent="0.2">
      <c r="A41" s="42"/>
      <c r="B41" s="43">
        <v>5.19</v>
      </c>
      <c r="C41" s="48" t="s">
        <v>315</v>
      </c>
      <c r="D41" s="251">
        <v>2</v>
      </c>
      <c r="E41" s="43" t="s">
        <v>38</v>
      </c>
      <c r="F41" s="240">
        <v>250</v>
      </c>
      <c r="G41" s="250">
        <f t="shared" si="3"/>
        <v>500</v>
      </c>
      <c r="H41" s="240"/>
      <c r="I41" s="240">
        <f t="shared" si="4"/>
        <v>0</v>
      </c>
      <c r="J41" s="240">
        <f t="shared" si="5"/>
        <v>500</v>
      </c>
      <c r="K41" s="254"/>
    </row>
    <row r="42" spans="1:11" ht="26.1" customHeight="1" x14ac:dyDescent="0.2">
      <c r="A42" s="42"/>
      <c r="B42" s="255">
        <v>5.2</v>
      </c>
      <c r="C42" s="48" t="s">
        <v>316</v>
      </c>
      <c r="D42" s="251">
        <v>1</v>
      </c>
      <c r="E42" s="43" t="s">
        <v>38</v>
      </c>
      <c r="F42" s="240">
        <v>3250</v>
      </c>
      <c r="G42" s="250">
        <f>D42*F42</f>
        <v>3250</v>
      </c>
      <c r="H42" s="240">
        <v>0</v>
      </c>
      <c r="I42" s="240">
        <f t="shared" si="4"/>
        <v>0</v>
      </c>
      <c r="J42" s="240">
        <f t="shared" si="5"/>
        <v>3250</v>
      </c>
      <c r="K42" s="254" t="s">
        <v>87</v>
      </c>
    </row>
    <row r="43" spans="1:11" ht="26.1" customHeight="1" x14ac:dyDescent="0.2">
      <c r="A43" s="42"/>
      <c r="B43" s="43">
        <v>5.21</v>
      </c>
      <c r="C43" s="48" t="s">
        <v>317</v>
      </c>
      <c r="D43" s="251">
        <v>2</v>
      </c>
      <c r="E43" s="43" t="s">
        <v>38</v>
      </c>
      <c r="F43" s="240">
        <v>1000</v>
      </c>
      <c r="G43" s="250">
        <f>D43*F43</f>
        <v>2000</v>
      </c>
      <c r="H43" s="240">
        <v>0</v>
      </c>
      <c r="I43" s="240">
        <f t="shared" si="4"/>
        <v>0</v>
      </c>
      <c r="J43" s="240">
        <f t="shared" si="5"/>
        <v>2000</v>
      </c>
      <c r="K43" s="254" t="s">
        <v>87</v>
      </c>
    </row>
    <row r="44" spans="1:11" ht="26.1" customHeight="1" x14ac:dyDescent="0.2">
      <c r="A44" s="42"/>
      <c r="B44" s="48"/>
      <c r="C44" s="48"/>
      <c r="D44" s="74"/>
      <c r="E44" s="43"/>
      <c r="F44" s="44"/>
      <c r="G44" s="45"/>
      <c r="H44" s="44"/>
      <c r="I44" s="44"/>
      <c r="J44" s="44"/>
      <c r="K44" s="50"/>
    </row>
    <row r="45" spans="1:11" ht="26.1" customHeight="1" x14ac:dyDescent="0.2">
      <c r="A45" s="42"/>
      <c r="B45" s="48"/>
      <c r="C45" s="48"/>
      <c r="D45" s="74"/>
      <c r="E45" s="43"/>
      <c r="F45" s="44"/>
      <c r="G45" s="45"/>
      <c r="H45" s="44"/>
      <c r="I45" s="44"/>
      <c r="J45" s="44"/>
      <c r="K45" s="50"/>
    </row>
    <row r="46" spans="1:11" ht="26.1" customHeight="1" x14ac:dyDescent="0.2">
      <c r="A46" s="42"/>
      <c r="B46" s="48"/>
      <c r="C46" s="48"/>
      <c r="D46" s="74"/>
      <c r="E46" s="43"/>
      <c r="F46" s="44"/>
      <c r="G46" s="45"/>
      <c r="H46" s="44"/>
      <c r="I46" s="44"/>
      <c r="J46" s="44"/>
      <c r="K46" s="50"/>
    </row>
    <row r="47" spans="1:11" ht="26.1" customHeight="1" x14ac:dyDescent="0.2">
      <c r="A47" s="42"/>
      <c r="B47" s="48"/>
      <c r="C47" s="48"/>
      <c r="D47" s="75"/>
      <c r="E47" s="43"/>
      <c r="F47" s="44"/>
      <c r="G47" s="45"/>
      <c r="H47" s="44"/>
      <c r="I47" s="44"/>
      <c r="J47" s="44"/>
      <c r="K47" s="50"/>
    </row>
    <row r="48" spans="1:11" ht="26.1" customHeight="1" x14ac:dyDescent="0.2">
      <c r="A48" s="42"/>
      <c r="B48" s="48"/>
      <c r="C48" s="48"/>
      <c r="D48" s="74"/>
      <c r="E48" s="43"/>
      <c r="F48" s="44"/>
      <c r="G48" s="45"/>
      <c r="H48" s="44"/>
      <c r="I48" s="44"/>
      <c r="J48" s="44"/>
      <c r="K48" s="50"/>
    </row>
    <row r="49" spans="1:11" ht="26.1" customHeight="1" thickBot="1" x14ac:dyDescent="0.25">
      <c r="A49" s="42"/>
      <c r="B49" s="48"/>
      <c r="C49" s="48"/>
      <c r="D49" s="74"/>
      <c r="E49" s="43"/>
      <c r="F49" s="44"/>
      <c r="G49" s="45"/>
      <c r="H49" s="44"/>
      <c r="I49" s="44"/>
      <c r="J49" s="44"/>
      <c r="K49" s="50"/>
    </row>
    <row r="50" spans="1:11" ht="26.1" customHeight="1" thickBot="1" x14ac:dyDescent="0.25">
      <c r="A50" s="61"/>
      <c r="B50" s="601" t="s">
        <v>318</v>
      </c>
      <c r="C50" s="600"/>
      <c r="D50" s="600"/>
      <c r="E50" s="600"/>
      <c r="F50" s="600"/>
      <c r="G50" s="600"/>
      <c r="H50" s="600"/>
      <c r="I50" s="540"/>
      <c r="J50" s="62">
        <f>SUM(J31:J49)</f>
        <v>314397.44682999997</v>
      </c>
      <c r="K50" s="63"/>
    </row>
  </sheetData>
  <mergeCells count="17">
    <mergeCell ref="K29:K30"/>
    <mergeCell ref="A5:A6"/>
    <mergeCell ref="K5:K6"/>
    <mergeCell ref="B5:C6"/>
    <mergeCell ref="F5:G5"/>
    <mergeCell ref="E5:E6"/>
    <mergeCell ref="H5:I5"/>
    <mergeCell ref="D5:D6"/>
    <mergeCell ref="B24:I24"/>
    <mergeCell ref="A29:A30"/>
    <mergeCell ref="B31:I31"/>
    <mergeCell ref="B50:I50"/>
    <mergeCell ref="B29:C30"/>
    <mergeCell ref="D29:D30"/>
    <mergeCell ref="E29:E30"/>
    <mergeCell ref="F29:G29"/>
    <mergeCell ref="H29:I29"/>
  </mergeCells>
  <phoneticPr fontId="0" type="noConversion"/>
  <printOptions horizontalCentered="1" verticalCentered="1"/>
  <pageMargins left="0.47222222222222199" right="0.47222222222222199" top="0.39374999999999999" bottom="0.27569444444444402" header="0.51180555555555596" footer="0.51180555555555596"/>
  <pageSetup paperSize="9" scale="73" firstPageNumber="0" orientation="landscape" r:id="rId1"/>
  <headerFooter alignWithMargins="0"/>
  <rowBreaks count="1" manualBreakCount="1">
    <brk id="24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997B-3915-4E6B-A0A5-266047E440C7}">
  <dimension ref="A1:L28"/>
  <sheetViews>
    <sheetView view="pageBreakPreview" zoomScaleSheetLayoutView="100" workbookViewId="0">
      <selection activeCell="O11" sqref="O11"/>
    </sheetView>
  </sheetViews>
  <sheetFormatPr defaultColWidth="9.140625" defaultRowHeight="26.1" customHeight="1" x14ac:dyDescent="0.2"/>
  <cols>
    <col min="1" max="2" width="10.7109375" style="447" customWidth="1"/>
    <col min="3" max="3" width="55.7109375" style="447" customWidth="1"/>
    <col min="4" max="4" width="12.7109375" style="437" customWidth="1"/>
    <col min="5" max="5" width="10.7109375" style="447" customWidth="1"/>
    <col min="6" max="6" width="13.7109375" style="34" customWidth="1"/>
    <col min="7" max="7" width="15.7109375" style="34" customWidth="1"/>
    <col min="8" max="8" width="13.7109375" style="34" customWidth="1"/>
    <col min="9" max="10" width="15.7109375" style="34" customWidth="1"/>
    <col min="11" max="11" width="13.7109375" style="447" customWidth="1"/>
    <col min="12" max="16384" width="9.140625" style="447"/>
  </cols>
  <sheetData>
    <row r="1" spans="1:12" s="6" customFormat="1" ht="26.1" customHeight="1" x14ac:dyDescent="0.2">
      <c r="A1" s="6" t="s">
        <v>126</v>
      </c>
      <c r="C1" s="447" t="str">
        <f>รวมราคา!C1</f>
        <v>อาคารที่พักอาศัย (แฟลต) จำนวน 40 ครอบครัว สูง 5 ชั้น (ใต้ถุนโล่ง)</v>
      </c>
      <c r="J1" s="437" t="s">
        <v>157</v>
      </c>
      <c r="K1" s="88">
        <v>18</v>
      </c>
    </row>
    <row r="2" spans="1:12" s="6" customFormat="1" ht="26.1" customHeight="1" x14ac:dyDescent="0.2">
      <c r="A2" s="6" t="s">
        <v>17</v>
      </c>
      <c r="C2" s="447" t="s">
        <v>558</v>
      </c>
      <c r="G2" s="6" t="s">
        <v>127</v>
      </c>
      <c r="H2" s="447" t="str">
        <f>รวมราคา!H2</f>
        <v>ตร.10817/60</v>
      </c>
      <c r="I2" s="447"/>
    </row>
    <row r="3" spans="1:12" s="38" customFormat="1" ht="26.1" customHeight="1" x14ac:dyDescent="0.5">
      <c r="A3" s="6" t="s">
        <v>0</v>
      </c>
      <c r="B3" s="6"/>
      <c r="C3" s="88" t="s">
        <v>570</v>
      </c>
      <c r="D3" s="6"/>
      <c r="E3" s="6"/>
      <c r="F3" s="6"/>
      <c r="G3" s="6" t="s">
        <v>551</v>
      </c>
      <c r="H3" s="109"/>
      <c r="I3" s="6"/>
      <c r="J3" s="6"/>
      <c r="K3" s="6"/>
    </row>
    <row r="4" spans="1:12" s="38" customFormat="1" ht="26.1" customHeight="1" thickBot="1" x14ac:dyDescent="0.55000000000000004">
      <c r="A4" s="87" t="s">
        <v>125</v>
      </c>
      <c r="B4" s="87"/>
      <c r="C4" s="89"/>
      <c r="D4" s="87"/>
      <c r="E4" s="87"/>
      <c r="F4" s="87"/>
      <c r="G4" s="87"/>
      <c r="H4" s="87"/>
      <c r="I4" s="87"/>
      <c r="J4" s="87"/>
    </row>
    <row r="5" spans="1:12" s="6" customFormat="1" ht="26.1" customHeight="1" thickBot="1" x14ac:dyDescent="0.25">
      <c r="A5" s="522" t="s">
        <v>3</v>
      </c>
      <c r="B5" s="522" t="s">
        <v>4</v>
      </c>
      <c r="C5" s="522"/>
      <c r="D5" s="522" t="s">
        <v>18</v>
      </c>
      <c r="E5" s="600" t="s">
        <v>19</v>
      </c>
      <c r="F5" s="593" t="s">
        <v>20</v>
      </c>
      <c r="G5" s="593"/>
      <c r="H5" s="593" t="s">
        <v>21</v>
      </c>
      <c r="I5" s="593"/>
      <c r="J5" s="39" t="s">
        <v>22</v>
      </c>
      <c r="K5" s="540" t="s">
        <v>8</v>
      </c>
    </row>
    <row r="6" spans="1:12" s="6" customFormat="1" ht="26.1" customHeight="1" x14ac:dyDescent="0.2">
      <c r="A6" s="522"/>
      <c r="B6" s="522"/>
      <c r="C6" s="522"/>
      <c r="D6" s="522"/>
      <c r="E6" s="600"/>
      <c r="F6" s="441" t="s">
        <v>23</v>
      </c>
      <c r="G6" s="40" t="s">
        <v>24</v>
      </c>
      <c r="H6" s="441" t="s">
        <v>23</v>
      </c>
      <c r="I6" s="441" t="s">
        <v>24</v>
      </c>
      <c r="J6" s="41" t="s">
        <v>25</v>
      </c>
      <c r="K6" s="540"/>
    </row>
    <row r="7" spans="1:12" s="6" customFormat="1" ht="26.1" customHeight="1" x14ac:dyDescent="0.2">
      <c r="A7" s="20">
        <v>6</v>
      </c>
      <c r="B7" s="221" t="s">
        <v>368</v>
      </c>
      <c r="C7" s="221"/>
      <c r="D7" s="24"/>
      <c r="E7" s="222"/>
      <c r="F7" s="24"/>
      <c r="G7" s="223"/>
      <c r="H7" s="24"/>
      <c r="I7" s="24"/>
      <c r="J7" s="24"/>
      <c r="K7" s="224"/>
    </row>
    <row r="8" spans="1:12" ht="26.1" customHeight="1" x14ac:dyDescent="0.2">
      <c r="A8" s="42"/>
      <c r="B8" s="43">
        <v>6.1</v>
      </c>
      <c r="C8" s="48" t="s">
        <v>361</v>
      </c>
      <c r="D8" s="511">
        <v>2</v>
      </c>
      <c r="E8" s="43" t="s">
        <v>66</v>
      </c>
      <c r="F8" s="240">
        <v>0</v>
      </c>
      <c r="G8" s="250">
        <f t="shared" ref="G8:G14" si="0">D8*F8</f>
        <v>0</v>
      </c>
      <c r="H8" s="240">
        <v>13500</v>
      </c>
      <c r="I8" s="240">
        <f>D8*H8</f>
        <v>27000</v>
      </c>
      <c r="J8" s="240">
        <f>G8+I8</f>
        <v>27000</v>
      </c>
      <c r="K8" s="254"/>
    </row>
    <row r="9" spans="1:12" ht="26.1" customHeight="1" x14ac:dyDescent="0.2">
      <c r="A9" s="42"/>
      <c r="B9" s="43">
        <v>6.2</v>
      </c>
      <c r="C9" s="48" t="s">
        <v>362</v>
      </c>
      <c r="D9" s="240">
        <v>120.26</v>
      </c>
      <c r="E9" s="43" t="s">
        <v>72</v>
      </c>
      <c r="F9" s="240">
        <v>0</v>
      </c>
      <c r="G9" s="250">
        <f t="shared" si="0"/>
        <v>0</v>
      </c>
      <c r="H9" s="240">
        <v>125</v>
      </c>
      <c r="I9" s="240">
        <f t="shared" ref="I9:I14" si="1">D9*H9</f>
        <v>15032.5</v>
      </c>
      <c r="J9" s="240">
        <f t="shared" ref="J9:J14" si="2">G9+I9</f>
        <v>15032.5</v>
      </c>
      <c r="K9" s="254"/>
      <c r="L9" s="447">
        <v>22.4</v>
      </c>
    </row>
    <row r="10" spans="1:12" ht="26.1" customHeight="1" x14ac:dyDescent="0.2">
      <c r="A10" s="42"/>
      <c r="B10" s="43">
        <v>6.3</v>
      </c>
      <c r="C10" s="48" t="s">
        <v>363</v>
      </c>
      <c r="D10" s="240">
        <v>8.15</v>
      </c>
      <c r="E10" s="43" t="s">
        <v>72</v>
      </c>
      <c r="F10" s="240">
        <f>วัสดุ!B22</f>
        <v>654.21</v>
      </c>
      <c r="G10" s="250">
        <f t="shared" si="0"/>
        <v>5331.8115000000007</v>
      </c>
      <c r="H10" s="240">
        <v>99</v>
      </c>
      <c r="I10" s="240">
        <f t="shared" si="1"/>
        <v>806.85</v>
      </c>
      <c r="J10" s="240">
        <f t="shared" si="2"/>
        <v>6138.6615000000011</v>
      </c>
      <c r="K10" s="254"/>
      <c r="L10" s="447">
        <v>1.6</v>
      </c>
    </row>
    <row r="11" spans="1:12" ht="26.1" customHeight="1" x14ac:dyDescent="0.2">
      <c r="A11" s="42"/>
      <c r="B11" s="43">
        <v>6.4</v>
      </c>
      <c r="C11" s="48" t="s">
        <v>296</v>
      </c>
      <c r="D11" s="240">
        <v>4.08</v>
      </c>
      <c r="E11" s="43" t="s">
        <v>72</v>
      </c>
      <c r="F11" s="240">
        <v>2200</v>
      </c>
      <c r="G11" s="250">
        <f t="shared" si="0"/>
        <v>8976</v>
      </c>
      <c r="H11" s="240">
        <v>426</v>
      </c>
      <c r="I11" s="240">
        <f t="shared" si="1"/>
        <v>1738.08</v>
      </c>
      <c r="J11" s="240">
        <f t="shared" si="2"/>
        <v>10714.08</v>
      </c>
      <c r="K11" s="254"/>
      <c r="L11" s="447">
        <v>0.8</v>
      </c>
    </row>
    <row r="12" spans="1:12" ht="26.1" customHeight="1" x14ac:dyDescent="0.2">
      <c r="A12" s="42"/>
      <c r="B12" s="43">
        <v>6.5</v>
      </c>
      <c r="C12" s="48" t="s">
        <v>374</v>
      </c>
      <c r="D12" s="512">
        <f>(45*3)+(6*4)</f>
        <v>159</v>
      </c>
      <c r="E12" s="43" t="s">
        <v>70</v>
      </c>
      <c r="F12" s="240">
        <v>11000</v>
      </c>
      <c r="G12" s="250">
        <f t="shared" si="0"/>
        <v>1749000</v>
      </c>
      <c r="H12" s="240">
        <v>1525</v>
      </c>
      <c r="I12" s="240">
        <f t="shared" si="1"/>
        <v>242475</v>
      </c>
      <c r="J12" s="240">
        <f t="shared" si="2"/>
        <v>1991475</v>
      </c>
      <c r="K12" s="260"/>
    </row>
    <row r="13" spans="1:12" ht="26.1" customHeight="1" x14ac:dyDescent="0.2">
      <c r="A13" s="42"/>
      <c r="B13" s="43" t="s">
        <v>159</v>
      </c>
      <c r="C13" s="48" t="s">
        <v>364</v>
      </c>
      <c r="D13" s="512">
        <f>D12</f>
        <v>159</v>
      </c>
      <c r="E13" s="43" t="s">
        <v>70</v>
      </c>
      <c r="F13" s="240">
        <v>0</v>
      </c>
      <c r="G13" s="250">
        <f t="shared" si="0"/>
        <v>0</v>
      </c>
      <c r="H13" s="240">
        <v>280</v>
      </c>
      <c r="I13" s="240">
        <f t="shared" si="1"/>
        <v>44520</v>
      </c>
      <c r="J13" s="240">
        <f t="shared" si="2"/>
        <v>44520</v>
      </c>
      <c r="K13" s="260"/>
    </row>
    <row r="14" spans="1:12" ht="26.1" customHeight="1" x14ac:dyDescent="0.2">
      <c r="A14" s="42"/>
      <c r="B14" s="43">
        <v>6.6</v>
      </c>
      <c r="C14" s="48" t="s">
        <v>243</v>
      </c>
      <c r="D14" s="240">
        <v>93.34</v>
      </c>
      <c r="E14" s="43" t="s">
        <v>72</v>
      </c>
      <c r="F14" s="240">
        <f>วัสดุ!B1</f>
        <v>2187.38</v>
      </c>
      <c r="G14" s="250">
        <f t="shared" si="0"/>
        <v>204170.04920000001</v>
      </c>
      <c r="H14" s="240">
        <v>426</v>
      </c>
      <c r="I14" s="240">
        <f t="shared" si="1"/>
        <v>39762.840000000004</v>
      </c>
      <c r="J14" s="240">
        <f t="shared" si="2"/>
        <v>243932.88920000001</v>
      </c>
      <c r="K14" s="254"/>
      <c r="L14" s="447">
        <v>11.04</v>
      </c>
    </row>
    <row r="15" spans="1:12" ht="26.1" customHeight="1" x14ac:dyDescent="0.2">
      <c r="A15" s="42"/>
      <c r="B15" s="43">
        <v>6.7</v>
      </c>
      <c r="C15" s="48" t="s">
        <v>174</v>
      </c>
      <c r="D15" s="240"/>
      <c r="E15" s="43"/>
      <c r="F15" s="240"/>
      <c r="G15" s="250"/>
      <c r="H15" s="240"/>
      <c r="I15" s="240"/>
      <c r="J15" s="240"/>
      <c r="K15" s="254"/>
    </row>
    <row r="16" spans="1:12" ht="26.1" customHeight="1" x14ac:dyDescent="0.2">
      <c r="A16" s="42"/>
      <c r="B16" s="43" t="s">
        <v>159</v>
      </c>
      <c r="C16" s="48" t="s">
        <v>233</v>
      </c>
      <c r="D16" s="240">
        <f>1.05*525.19</f>
        <v>551.44950000000006</v>
      </c>
      <c r="E16" s="43" t="s">
        <v>85</v>
      </c>
      <c r="F16" s="240">
        <f>วัสดุ!B3</f>
        <v>22.19</v>
      </c>
      <c r="G16" s="250">
        <f t="shared" ref="G16:G25" si="3">D16*F16</f>
        <v>12236.664405000001</v>
      </c>
      <c r="H16" s="240">
        <v>4.4000000000000004</v>
      </c>
      <c r="I16" s="240">
        <f t="shared" ref="I16:I25" si="4">D16*H16</f>
        <v>2426.3778000000007</v>
      </c>
      <c r="J16" s="240">
        <f t="shared" ref="J16:J25" si="5">G16+I16</f>
        <v>14663.042205000002</v>
      </c>
      <c r="K16" s="254"/>
    </row>
    <row r="17" spans="1:12" ht="26.1" customHeight="1" x14ac:dyDescent="0.2">
      <c r="A17" s="42"/>
      <c r="B17" s="43" t="s">
        <v>159</v>
      </c>
      <c r="C17" s="48" t="s">
        <v>235</v>
      </c>
      <c r="D17" s="240">
        <f>1.09*301.83</f>
        <v>328.99470000000002</v>
      </c>
      <c r="E17" s="43" t="s">
        <v>73</v>
      </c>
      <c r="F17" s="240">
        <f>วัสดุ!B14</f>
        <v>20.45</v>
      </c>
      <c r="G17" s="250">
        <f t="shared" si="3"/>
        <v>6727.9416150000006</v>
      </c>
      <c r="H17" s="240">
        <v>3.6</v>
      </c>
      <c r="I17" s="240">
        <f t="shared" si="4"/>
        <v>1184.3809200000001</v>
      </c>
      <c r="J17" s="240">
        <f t="shared" si="5"/>
        <v>7912.3225350000012</v>
      </c>
      <c r="K17" s="254"/>
    </row>
    <row r="18" spans="1:12" ht="26.1" customHeight="1" x14ac:dyDescent="0.2">
      <c r="A18" s="42"/>
      <c r="B18" s="43" t="s">
        <v>159</v>
      </c>
      <c r="C18" s="48" t="s">
        <v>236</v>
      </c>
      <c r="D18" s="240">
        <f>1.11*5887.08</f>
        <v>6534.6588000000002</v>
      </c>
      <c r="E18" s="43" t="s">
        <v>73</v>
      </c>
      <c r="F18" s="240">
        <f>วัสดุ!B15</f>
        <v>20.239999999999998</v>
      </c>
      <c r="G18" s="250">
        <f t="shared" si="3"/>
        <v>132261.49411199999</v>
      </c>
      <c r="H18" s="240">
        <v>3.6</v>
      </c>
      <c r="I18" s="240">
        <f t="shared" si="4"/>
        <v>23524.771680000002</v>
      </c>
      <c r="J18" s="240">
        <f t="shared" si="5"/>
        <v>155786.26579199999</v>
      </c>
      <c r="K18" s="254"/>
    </row>
    <row r="19" spans="1:12" ht="26.1" customHeight="1" x14ac:dyDescent="0.2">
      <c r="A19" s="42"/>
      <c r="B19" s="43" t="s">
        <v>159</v>
      </c>
      <c r="C19" s="48" t="s">
        <v>237</v>
      </c>
      <c r="D19" s="240">
        <f>1.13*2540.89</f>
        <v>2871.2056999999995</v>
      </c>
      <c r="E19" s="43" t="s">
        <v>73</v>
      </c>
      <c r="F19" s="240">
        <f>วัสดุ!B16</f>
        <v>21.24</v>
      </c>
      <c r="G19" s="250">
        <f>D19*F19</f>
        <v>60984.409067999986</v>
      </c>
      <c r="H19" s="240">
        <v>3.1</v>
      </c>
      <c r="I19" s="240">
        <f>D19*H19</f>
        <v>8900.7376699999986</v>
      </c>
      <c r="J19" s="240">
        <f>G19+I19</f>
        <v>69885.146737999981</v>
      </c>
      <c r="K19" s="254"/>
    </row>
    <row r="20" spans="1:12" ht="26.1" customHeight="1" x14ac:dyDescent="0.2">
      <c r="A20" s="42"/>
      <c r="B20" s="43" t="s">
        <v>159</v>
      </c>
      <c r="C20" s="48" t="s">
        <v>237</v>
      </c>
      <c r="D20" s="240">
        <f>1.15*406.1</f>
        <v>467.01499999999999</v>
      </c>
      <c r="E20" s="43" t="s">
        <v>73</v>
      </c>
      <c r="F20" s="240">
        <f>วัสดุ!B17</f>
        <v>21.91</v>
      </c>
      <c r="G20" s="250">
        <f>D20*F20</f>
        <v>10232.298650000001</v>
      </c>
      <c r="H20" s="240">
        <v>3.1</v>
      </c>
      <c r="I20" s="240">
        <f>D20*H20</f>
        <v>1447.7465</v>
      </c>
      <c r="J20" s="240">
        <f>G20+I20</f>
        <v>11680.04515</v>
      </c>
      <c r="K20" s="254"/>
    </row>
    <row r="21" spans="1:12" ht="26.1" customHeight="1" x14ac:dyDescent="0.2">
      <c r="A21" s="42"/>
      <c r="B21" s="43" t="s">
        <v>159</v>
      </c>
      <c r="C21" s="48" t="s">
        <v>26</v>
      </c>
      <c r="D21" s="240">
        <f>SUM(D16:D20)*0.03</f>
        <v>322.59971099999996</v>
      </c>
      <c r="E21" s="43" t="s">
        <v>73</v>
      </c>
      <c r="F21" s="240">
        <f>วัสดุ!B20</f>
        <v>40.89</v>
      </c>
      <c r="G21" s="250">
        <f t="shared" si="3"/>
        <v>13191.102182789999</v>
      </c>
      <c r="H21" s="240">
        <v>0</v>
      </c>
      <c r="I21" s="240">
        <f t="shared" si="4"/>
        <v>0</v>
      </c>
      <c r="J21" s="240">
        <f t="shared" si="5"/>
        <v>13191.102182789999</v>
      </c>
      <c r="K21" s="254"/>
    </row>
    <row r="22" spans="1:12" ht="26.1" customHeight="1" x14ac:dyDescent="0.2">
      <c r="A22" s="42"/>
      <c r="B22" s="43">
        <v>6.8</v>
      </c>
      <c r="C22" s="48" t="s">
        <v>365</v>
      </c>
      <c r="D22" s="240">
        <f>D23</f>
        <v>432.37</v>
      </c>
      <c r="E22" s="43" t="s">
        <v>40</v>
      </c>
      <c r="F22" s="240">
        <v>400</v>
      </c>
      <c r="G22" s="250">
        <f t="shared" si="3"/>
        <v>172948</v>
      </c>
      <c r="H22" s="240">
        <v>0</v>
      </c>
      <c r="I22" s="240">
        <f t="shared" si="4"/>
        <v>0</v>
      </c>
      <c r="J22" s="240">
        <f t="shared" si="5"/>
        <v>172948</v>
      </c>
      <c r="K22" s="254"/>
    </row>
    <row r="23" spans="1:12" ht="26.1" customHeight="1" x14ac:dyDescent="0.2">
      <c r="A23" s="42"/>
      <c r="B23" s="43" t="s">
        <v>159</v>
      </c>
      <c r="C23" s="48" t="s">
        <v>240</v>
      </c>
      <c r="D23" s="240">
        <v>432.37</v>
      </c>
      <c r="E23" s="43" t="s">
        <v>40</v>
      </c>
      <c r="F23" s="240">
        <v>0</v>
      </c>
      <c r="G23" s="250">
        <f t="shared" si="3"/>
        <v>0</v>
      </c>
      <c r="H23" s="240">
        <v>139</v>
      </c>
      <c r="I23" s="240">
        <f t="shared" si="4"/>
        <v>60099.43</v>
      </c>
      <c r="J23" s="240">
        <f t="shared" si="5"/>
        <v>60099.43</v>
      </c>
      <c r="K23" s="236"/>
      <c r="L23" s="447">
        <v>98.6</v>
      </c>
    </row>
    <row r="24" spans="1:12" ht="26.1" customHeight="1" x14ac:dyDescent="0.5">
      <c r="A24" s="42"/>
      <c r="B24" s="225" t="s">
        <v>159</v>
      </c>
      <c r="C24" s="60" t="s">
        <v>366</v>
      </c>
      <c r="D24" s="240">
        <f>30*D22/100</f>
        <v>129.71100000000001</v>
      </c>
      <c r="E24" s="43" t="s">
        <v>74</v>
      </c>
      <c r="F24" s="240">
        <v>400</v>
      </c>
      <c r="G24" s="250">
        <f t="shared" si="3"/>
        <v>51884.400000000009</v>
      </c>
      <c r="H24" s="240">
        <v>0</v>
      </c>
      <c r="I24" s="240">
        <f t="shared" si="4"/>
        <v>0</v>
      </c>
      <c r="J24" s="240">
        <f t="shared" si="5"/>
        <v>51884.400000000009</v>
      </c>
      <c r="K24" s="261"/>
    </row>
    <row r="25" spans="1:12" ht="26.1" customHeight="1" x14ac:dyDescent="0.2">
      <c r="A25" s="42"/>
      <c r="B25" s="43">
        <v>6.9</v>
      </c>
      <c r="C25" s="48" t="s">
        <v>181</v>
      </c>
      <c r="D25" s="240">
        <f>0.25*D23</f>
        <v>108.0925</v>
      </c>
      <c r="E25" s="43" t="s">
        <v>73</v>
      </c>
      <c r="F25" s="240">
        <f>วัสดุ!B21</f>
        <v>46.73</v>
      </c>
      <c r="G25" s="250">
        <f t="shared" si="3"/>
        <v>5051.1625249999997</v>
      </c>
      <c r="H25" s="240">
        <v>0</v>
      </c>
      <c r="I25" s="240">
        <f t="shared" si="4"/>
        <v>0</v>
      </c>
      <c r="J25" s="240">
        <f t="shared" si="5"/>
        <v>5051.1625249999997</v>
      </c>
      <c r="K25" s="254"/>
    </row>
    <row r="26" spans="1:12" ht="26.1" customHeight="1" x14ac:dyDescent="0.2">
      <c r="A26" s="42"/>
      <c r="B26" s="48"/>
      <c r="C26" s="48"/>
      <c r="D26" s="44"/>
      <c r="E26" s="43"/>
      <c r="F26" s="44"/>
      <c r="G26" s="45"/>
      <c r="H26" s="44"/>
      <c r="I26" s="44"/>
      <c r="J26" s="44"/>
      <c r="K26" s="50"/>
    </row>
    <row r="27" spans="1:12" ht="26.1" customHeight="1" thickBot="1" x14ac:dyDescent="0.25">
      <c r="A27" s="42"/>
      <c r="B27" s="48"/>
      <c r="C27" s="48"/>
      <c r="D27" s="44"/>
      <c r="E27" s="43"/>
      <c r="F27" s="44"/>
      <c r="G27" s="45"/>
      <c r="H27" s="44"/>
      <c r="I27" s="44"/>
      <c r="J27" s="44"/>
      <c r="K27" s="50"/>
    </row>
    <row r="28" spans="1:12" ht="26.1" customHeight="1" thickBot="1" x14ac:dyDescent="0.25">
      <c r="A28" s="61"/>
      <c r="B28" s="601" t="s">
        <v>367</v>
      </c>
      <c r="C28" s="600"/>
      <c r="D28" s="600"/>
      <c r="E28" s="600"/>
      <c r="F28" s="600"/>
      <c r="G28" s="600"/>
      <c r="H28" s="600"/>
      <c r="I28" s="540"/>
      <c r="J28" s="62">
        <f>SUM(J7:J27)</f>
        <v>2901914.0478277905</v>
      </c>
      <c r="K28" s="63"/>
    </row>
  </sheetData>
  <mergeCells count="8">
    <mergeCell ref="K5:K6"/>
    <mergeCell ref="A5:A6"/>
    <mergeCell ref="B28:I28"/>
    <mergeCell ref="B5:C6"/>
    <mergeCell ref="E5:E6"/>
    <mergeCell ref="D5:D6"/>
    <mergeCell ref="F5:G5"/>
    <mergeCell ref="H5:I5"/>
  </mergeCells>
  <phoneticPr fontId="0" type="noConversion"/>
  <printOptions horizontalCentered="1" verticalCentered="1"/>
  <pageMargins left="0.47222222222222199" right="0.47222222222222199" top="0.39374999999999999" bottom="0.27569444444444402" header="0.51180555555555596" footer="0.51180555555555596"/>
  <pageSetup paperSize="9" scale="7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13</vt:i4>
      </vt:variant>
    </vt:vector>
  </HeadingPairs>
  <TitlesOfParts>
    <vt:vector size="29" baseType="lpstr">
      <vt:lpstr>สรุปงานโครงการ</vt:lpstr>
      <vt:lpstr>ปร.6</vt:lpstr>
      <vt:lpstr>รวมราคา</vt:lpstr>
      <vt:lpstr>1.โครงสร้าง</vt:lpstr>
      <vt:lpstr>2.สถาปัตย์</vt:lpstr>
      <vt:lpstr>3.ประปา</vt:lpstr>
      <vt:lpstr>4.ไฟฟ้า</vt:lpstr>
      <vt:lpstr>5.ถังน้ำบนดิน</vt:lpstr>
      <vt:lpstr>6.ฐานรากมีเข็ม</vt:lpstr>
      <vt:lpstr>7.บริเวณ</vt:lpstr>
      <vt:lpstr>8.งานถนนเข้าที่พัก</vt:lpstr>
      <vt:lpstr>9.ครุภัณฑ์ทั่วไป</vt:lpstr>
      <vt:lpstr>(Factor F)</vt:lpstr>
      <vt:lpstr>วัสดุ</vt:lpstr>
      <vt:lpstr>ทดโครงสร้าง</vt:lpstr>
      <vt:lpstr>ถนน</vt:lpstr>
      <vt:lpstr>'(Factor F)'!Print_Area</vt:lpstr>
      <vt:lpstr>'1.โครงสร้าง'!Print_Area</vt:lpstr>
      <vt:lpstr>'2.สถาปัตย์'!Print_Area</vt:lpstr>
      <vt:lpstr>'3.ประปา'!Print_Area</vt:lpstr>
      <vt:lpstr>'4.ไฟฟ้า'!Print_Area</vt:lpstr>
      <vt:lpstr>'5.ถังน้ำบนดิน'!Print_Area</vt:lpstr>
      <vt:lpstr>'6.ฐานรากมีเข็ม'!Print_Area</vt:lpstr>
      <vt:lpstr>'7.บริเวณ'!Print_Area</vt:lpstr>
      <vt:lpstr>'8.งานถนนเข้าที่พัก'!Print_Area</vt:lpstr>
      <vt:lpstr>'9.ครุภัณฑ์ทั่วไป'!Print_Area</vt:lpstr>
      <vt:lpstr>ถนน!Print_Area</vt:lpstr>
      <vt:lpstr>รวมราคา!Print_Area</vt:lpstr>
      <vt:lpstr>สรุปงานโครงการ!Print_Area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user</cp:lastModifiedBy>
  <cp:lastPrinted>2025-08-20T08:16:10Z</cp:lastPrinted>
  <dcterms:created xsi:type="dcterms:W3CDTF">2009-12-31T02:09:58Z</dcterms:created>
  <dcterms:modified xsi:type="dcterms:W3CDTF">2025-08-20T08:27:46Z</dcterms:modified>
</cp:coreProperties>
</file>